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735" windowWidth="10005" windowHeight="6405" activeTab="0"/>
  </bookViews>
  <sheets>
    <sheet name="Документ" sheetId="1" r:id="rId1"/>
    <sheet name="Лист1" sheetId="2" r:id="rId2"/>
  </sheets>
  <definedNames>
    <definedName name="_xlnm._FilterDatabase" localSheetId="0" hidden="1">'Документ'!$A$6:$L$118</definedName>
    <definedName name="_xlnm.Print_Titles" localSheetId="0">'Документ'!$3:$6</definedName>
    <definedName name="_xlnm.Print_Area" localSheetId="0">'Документ'!$A$1:$O$118</definedName>
  </definedNames>
  <calcPr fullCalcOnLoad="1"/>
</workbook>
</file>

<file path=xl/sharedStrings.xml><?xml version="1.0" encoding="utf-8"?>
<sst xmlns="http://schemas.openxmlformats.org/spreadsheetml/2006/main" count="295" uniqueCount="236">
  <si>
    <t>Код бюджетной классификации Российской Федерации</t>
  </si>
  <si>
    <t>Наименование доходов</t>
  </si>
  <si>
    <t>1</t>
  </si>
  <si>
    <t>2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</si>
  <si>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</si>
  <si>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</si>
  <si>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</si>
  <si>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</si>
  <si>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</si>
  <si>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</si>
  <si>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</si>
  <si>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</si>
  <si>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</si>
  <si>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</si>
  <si>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</si>
  <si>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</si>
  <si>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</si>
  <si>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</si>
  <si>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</si>
  <si>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</si>
  <si>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</si>
  <si>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</si>
  <si>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</si>
  <si>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</si>
  <si>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</si>
  <si>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1 14 00000 00 0000 000</t>
  </si>
  <si>
    <t>ДОХОДЫ ОТ ПРОДАЖИ МАТЕРИАЛЬНЫХ И НЕМАТЕРИАЛЬНЫХ АКТИВОВ</t>
  </si>
  <si>
    <t>1 14 06000 00 0000 430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</si>
  <si>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</si>
  <si>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</si>
  <si>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</si>
  <si>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</si>
  <si>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1 16 90000 00 0000 140</t>
  </si>
  <si>
    <t>Прочие поступления от денежных взысканий (штрафов) и иных сумм в возмещение ущерба</t>
  </si>
  <si>
    <t>2 00 00000 00 0000 000</t>
  </si>
  <si>
    <t>БЕЗВОЗМЕЗДНЫЕ ПОСТУПЛЕНИЯ</t>
  </si>
  <si>
    <t>Дотации бюджетам субъектов Российской Федерации и муниципальных образований</t>
  </si>
  <si>
    <t>Иные межбюджетные трансферты</t>
  </si>
  <si>
    <t>рублей</t>
  </si>
  <si>
    <t>Сумма
 на 2015 год</t>
  </si>
  <si>
    <t>Сумма
 на 2016 год</t>
  </si>
  <si>
    <t>1 05 00000 00 0000 000</t>
  </si>
  <si>
    <t>НАЛОГИ НА СОВОКУПНЫЙ ДОХОД</t>
  </si>
  <si>
    <t>1 03 02230 01 0000 110</t>
  </si>
  <si>
    <t>1 03 02240 01 0000 110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</si>
  <si>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</si>
  <si>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</si>
  <si>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</si>
  <si>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Сумма
 на 2017 год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</si>
  <si>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</si>
  <si>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ВСЕГО: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</si>
  <si>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</si>
  <si>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</si>
  <si>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2 02 00000 00 0000 000</t>
  </si>
  <si>
    <t>Изменения
март
2015</t>
  </si>
  <si>
    <t>2 19 00000 00 0000 000</t>
  </si>
  <si>
    <t>(рублей)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</si>
  <si>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</si>
  <si>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</si>
  <si>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</si>
  <si>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</si>
  <si>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</si>
  <si>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</si>
  <si>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</si>
  <si>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</si>
  <si>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</si>
  <si>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1 05 03000 01 0000 110</t>
  </si>
  <si>
    <t>Единый сельскохозяйственный налог</t>
  </si>
  <si>
    <t>1 05 03020 01 0000 110</t>
  </si>
  <si>
    <t>Единый сельскохозяйственный налог (за налоговые периоды, истекшие до 1 января 2011 года)</t>
  </si>
  <si>
    <t>0,00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</si>
  <si>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</si>
  <si>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</si>
  <si>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</si>
  <si>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</si>
  <si>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</si>
  <si>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</si>
  <si>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</si>
  <si>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</si>
  <si>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</si>
  <si>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</si>
  <si>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1 13 02990 00 0000 130</t>
  </si>
  <si>
    <t>Прочие доходы от компенсации затрат государства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</si>
  <si>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</si>
  <si>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</si>
  <si>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1 17 00000 00 0000 000</t>
  </si>
  <si>
    <t>ПРОЧИЕ НЕНАЛОГОВЫЕ ДОХОДЫ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</si>
  <si>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</si>
  <si>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</si>
  <si>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</si>
  <si>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</si>
  <si>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2 02 02077 00 0000 151</t>
  </si>
  <si>
    <t>ВОЗВРАТ ОСТАТКОВ СУБСИДИЙ, СУБВЕНЦИЙ И ИНЫХ МЕЖБЮДЖЕТНЫХ ТРАНСФЕРТОВ, ИМЕЮЩИХ ЦЕЛЕВОЕ НАЗНАЧЕНИЕ, ПРОШЛЫХ ЛЕТ</t>
  </si>
  <si>
    <t>1 03 02000 01 0000 110</t>
  </si>
  <si>
    <t>Акцизы по подакцизным товарам (продукции), производимым на территории Российской Федерации</t>
  </si>
  <si>
    <t>Процент исполнения к прогнозным параметрам доходов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</si>
  <si>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</si>
  <si>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</si>
  <si>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</si>
  <si>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</si>
  <si>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1 05 02020 00 0000 110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</si>
  <si>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</si>
  <si>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</si>
  <si>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 xml:space="preserve">Единый сельскохозяйственный налог 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</si>
  <si>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</si>
  <si>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</si>
  <si>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</si>
  <si>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</si>
  <si>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</si>
  <si>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</si>
  <si>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</si>
  <si>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находятся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</si>
  <si>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</si>
  <si>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находятся в границах городских поселений,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</si>
  <si>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</si>
  <si>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бюджетных и автономных учреждений)</t>
  </si>
  <si>
    <t>1 13 02992 05 0000 130</t>
  </si>
  <si>
    <t>Прочие доходы от компенсации затрат бюджетов муниципальных районов</t>
  </si>
  <si>
    <t>1 14 02050 05 0000 410</t>
  </si>
  <si>
    <t xml:space="preserve">1 14 02052 05 0000 410
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</si>
  <si>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движимого имущества муниципальных бюджетных и автономных учреждений), в части реализации основных средств по указанному имуществу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</si>
  <si>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</si>
  <si>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</si>
  <si>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1 14 06013 10 0000 430</t>
  </si>
  <si>
    <t>Доходы от продажи земельных участков, государственная собственность на которые не разграничена и которые находятся в границах сельских поселений</t>
  </si>
  <si>
    <t>1 14 06013 13 0000 430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</si>
  <si>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</si>
  <si>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</si>
  <si>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</si>
  <si>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</si>
  <si>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</si>
  <si>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</si>
  <si>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</si>
  <si>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</si>
  <si>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</si>
  <si>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</si>
  <si>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</si>
  <si>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</si>
  <si>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</si>
  <si>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1 11 01000 00 0000 120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</si>
  <si>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</si>
  <si>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</si>
  <si>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муниципальным районам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</si>
  <si>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</si>
  <si>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</si>
  <si>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</si>
  <si>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</si>
  <si>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Прогноз доходов                                               на 2017 год</t>
  </si>
  <si>
    <t>Темп роста 2017 к соответствующему периоду 2016, %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</si>
  <si>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</si>
  <si>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</si>
  <si>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реализации имущества, находящегося в собственности 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</si>
  <si>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1 11 07000 00 0000 120</t>
  </si>
  <si>
    <t>Платежи от государственных и муниципальных унитарных предприятий</t>
  </si>
  <si>
    <t>Сведения об исполнении  бюджета Рогнединского муниципального района по доходам за 1 полугодие 2017 года</t>
  </si>
  <si>
    <t>Кассовое исполнение                             за 1 полугодие                  2016 года</t>
  </si>
  <si>
    <t>Кассовое исполнение                             за 1 полугодие                  2017 года</t>
  </si>
  <si>
    <t>1 16 03010 01 0000 140</t>
  </si>
  <si>
    <t xml:space="preserve">1 16 03030 01 0000 140 </t>
  </si>
  <si>
    <t xml:space="preserve">Денежные взыскания (штрафы) за нарушение законодательства о налогах и сборах, предусмотренные статьями 116,  118, статьей  119.1, пунктами 1 и 2 статьи 120, статьями 125, 126, 128, 129, 129.1,  132, 133, 134, 135, 135.1 Налогового кодекса Российской Федерации </t>
  </si>
  <si>
    <t>Денежные взыскания (штрафы) за административные правонарушения в области налогов и сборов, предусмотренные Кодексом  Российской Федерации  об административных правонарушениях</t>
  </si>
  <si>
    <t>1 17 05000 00 0000 180</t>
  </si>
  <si>
    <t>Прочие неналоговые доходы</t>
  </si>
  <si>
    <t>1 17 05050 05 0000 180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</si>
  <si>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</si>
  <si>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1 16 25060 01 0000 140</t>
  </si>
  <si>
    <t>Денежные взыскания (штрафы) за нарушение земельного законодательства</t>
  </si>
  <si>
    <t>1000,00</t>
  </si>
  <si>
    <t>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</si>
  <si>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</si>
  <si>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</si>
  <si>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</si>
  <si>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 xml:space="preserve">Дотации на выравнивание бюджетной обеспеченности </t>
  </si>
  <si>
    <t>2 02 01001 05 0000 151</t>
  </si>
  <si>
    <t xml:space="preserve">2 02 01003 00 0000 151 </t>
  </si>
  <si>
    <t>Дотации бюджетам  на поддержку мер по обеспечению сбалансированности бюджетов</t>
  </si>
  <si>
    <t>2 02 01003 05 0000 151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</si>
  <si>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</si>
  <si>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</si>
  <si>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2 02 02008 00 0000 151</t>
  </si>
  <si>
    <t>Субсидии бюджетам на обеспечение жильем молодых семей</t>
  </si>
  <si>
    <t>2 02 02008 05 0000 151</t>
  </si>
  <si>
    <t>Субсидии бюджетам муниципальных районов на обеспечение жильем молодых семей</t>
  </si>
  <si>
    <t>2 02 02077 05 0000 151</t>
  </si>
  <si>
    <t>2 02 02999 00 0000 151</t>
  </si>
  <si>
    <t xml:space="preserve">Прочие субсидии </t>
  </si>
  <si>
    <t>2 02 02999 05 0000 151</t>
  </si>
  <si>
    <t>2 02 03000 00 0000151</t>
  </si>
  <si>
    <t xml:space="preserve">Субвенции бюджетам субъектов Российской Федерации и муниципальных образований </t>
  </si>
  <si>
    <t>2 02 03015 00 0000 151</t>
  </si>
  <si>
    <t>2 02 03015 05 0000 151</t>
  </si>
  <si>
    <t>2 02 03020 00 0000 151</t>
  </si>
  <si>
    <t>2 02 03020 05 0000 151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</si>
  <si>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</si>
  <si>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</si>
  <si>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</si>
  <si>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</si>
  <si>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</si>
  <si>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</si>
  <si>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</si>
  <si>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</si>
  <si>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t>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</si>
  <si>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</si>
  <si>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2 02 03119 05 0000 151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</si>
  <si>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</si>
  <si>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2 02 04000 00 0000 151 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</si>
  <si>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</si>
  <si>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</si>
  <si>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</si>
  <si>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передаваемые бюджетам муниципальных районов из бюджетов поселений на  осуществление части полномочий по решению вопросов местного значения в соответствии с заключенными соглашениями</t>
  </si>
  <si>
    <t>2 02 04061 00 0000 151</t>
  </si>
  <si>
    <t>Межбюджетные трансферты, передаваемые бюджетам  на создание и развитие сети многофункциональных центров предоставление государственных и муниципальных услуг</t>
  </si>
  <si>
    <t>2 02 04061 05 0000 151</t>
  </si>
  <si>
    <t>Межбюджетные трансферты, передаваемые бюджетам  муниципальных районов на создание и развитие сети многофункциональных центров предоставление государственных и муниципальных услуг</t>
  </si>
  <si>
    <t xml:space="preserve"> 2 02 04999 00 0000 151 </t>
  </si>
  <si>
    <t xml:space="preserve">Прочие межбюджетные трансферты, передаваемые бюджетам </t>
  </si>
  <si>
    <t xml:space="preserve"> 2 02 04999 05 0000 151 </t>
  </si>
  <si>
    <t>Прочие межбюджетные трансферты, передаваемые бюджетам муниципальных районов</t>
  </si>
  <si>
    <t xml:space="preserve">ВОЗВРАТ ОСТАТКОВ СУБСИДИЙ, СУБВЕНЦИЙ И ИНЫХ МЕЖБЮДЖЕТНЫХ  ТРАНСФЕРТОВ, ИМЕЮЩИХ ЦЕЛЕВОЕ НАЗНАЧЕНИЕ, ПРОШЛЫХ ЛЕТ </t>
  </si>
  <si>
    <t>2 19 00000 00 0000 151</t>
  </si>
  <si>
    <t xml:space="preserve">Возврат остатков субсидий, субвенций и иных межбюджетных трансфертов , имеющих целевое назначение, прошлых лет из бюджетов муниципальных районов </t>
  </si>
  <si>
    <t>2 19 00010 05 0000 151</t>
  </si>
  <si>
    <t xml:space="preserve">Возврат прочих остатков субсидий, субвенций и иных межбюджетных трансфертов , имеющих целевое назначение, прошлых лет из бюджетов муниципальных районов </t>
  </si>
  <si>
    <t>Субсидии бюджетам  на софинансирование капитальных вложений в объекты (государственной)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</si>
  <si>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</si>
  <si>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2 02 20051 00 0000 100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</si>
  <si>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</si>
  <si>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</si>
  <si>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2 02 20216 00 000 151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</si>
  <si>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</si>
  <si>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</si>
  <si>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</si>
  <si>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000 2022555800 0000 151</t>
  </si>
  <si>
    <t xml:space="preserve"> 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</si>
  <si>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000 2022555805 0000 151</t>
  </si>
  <si>
    <t>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</si>
</sst>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</numFmts>
  <fonts count="28"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i/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5">
    <xf numFmtId="0" fontId="0" fillId="0" borderId="0" xfId="0" applyAlignment="1">
      <alignment/>
    </xf>
    <xf numFmtId="4" fontId="1" fillId="24" borderId="0" xfId="0" applyNumberFormat="1" applyFont="1" applyFill="1" applyAlignment="1">
      <alignment vertical="center"/>
    </xf>
    <xf numFmtId="0" fontId="1" fillId="24" borderId="0" xfId="0" applyFont="1" applyFill="1" applyAlignment="1">
      <alignment vertical="center"/>
    </xf>
    <xf numFmtId="4" fontId="1" fillId="24" borderId="0" xfId="0" applyNumberFormat="1" applyFont="1" applyFill="1" applyAlignment="1">
      <alignment vertical="center" wrapText="1"/>
    </xf>
    <xf numFmtId="0" fontId="1" fillId="24" borderId="0" xfId="0" applyNumberFormat="1" applyFont="1" applyFill="1" applyAlignment="1">
      <alignment vertical="center"/>
    </xf>
    <xf numFmtId="4" fontId="5" fillId="24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" fontId="4" fillId="24" borderId="0" xfId="0" applyNumberFormat="1" applyFont="1" applyFill="1" applyAlignment="1">
      <alignment horizontal="right" vertical="center"/>
    </xf>
    <xf numFmtId="0" fontId="4" fillId="24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24" borderId="11" xfId="0" applyFont="1" applyFill="1" applyBorder="1" applyAlignment="1">
      <alignment horizontal="center" vertical="center" shrinkToFit="1"/>
    </xf>
    <xf numFmtId="4" fontId="4" fillId="24" borderId="11" xfId="0" applyNumberFormat="1" applyFont="1" applyFill="1" applyBorder="1" applyAlignment="1">
      <alignment horizontal="right" vertical="center" shrinkToFit="1"/>
    </xf>
    <xf numFmtId="0" fontId="3" fillId="0" borderId="11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shrinkToFit="1"/>
    </xf>
    <xf numFmtId="4" fontId="3" fillId="25" borderId="11" xfId="0" applyNumberFormat="1" applyFont="1" applyFill="1" applyBorder="1" applyAlignment="1">
      <alignment horizontal="right" vertical="center" shrinkToFit="1"/>
    </xf>
    <xf numFmtId="176" fontId="3" fillId="24" borderId="11" xfId="0" applyNumberFormat="1" applyFont="1" applyFill="1" applyBorder="1" applyAlignment="1">
      <alignment horizontal="right" vertical="center" shrinkToFit="1"/>
    </xf>
    <xf numFmtId="0" fontId="4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shrinkToFit="1"/>
    </xf>
    <xf numFmtId="176" fontId="4" fillId="24" borderId="11" xfId="0" applyNumberFormat="1" applyFont="1" applyFill="1" applyBorder="1" applyAlignment="1">
      <alignment horizontal="right" vertical="center" shrinkToFit="1"/>
    </xf>
    <xf numFmtId="4" fontId="4" fillId="25" borderId="11" xfId="0" applyNumberFormat="1" applyFont="1" applyFill="1" applyBorder="1" applyAlignment="1">
      <alignment horizontal="right" vertical="center" shrinkToFit="1"/>
    </xf>
    <xf numFmtId="49" fontId="4" fillId="0" borderId="11" xfId="0" applyNumberFormat="1" applyFont="1" applyFill="1" applyBorder="1" applyAlignment="1">
      <alignment horizontal="right" vertical="center" shrinkToFit="1"/>
    </xf>
    <xf numFmtId="0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3" fillId="21" borderId="11" xfId="0" applyNumberFormat="1" applyFont="1" applyFill="1" applyBorder="1" applyAlignment="1">
      <alignment horizontal="right" vertical="center" shrinkToFit="1"/>
    </xf>
    <xf numFmtId="0" fontId="3" fillId="0" borderId="11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4" fillId="24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 quotePrefix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justify" wrapText="1"/>
    </xf>
    <xf numFmtId="49" fontId="4" fillId="24" borderId="11" xfId="0" applyNumberFormat="1" applyFont="1" applyFill="1" applyBorder="1" applyAlignment="1">
      <alignment horizontal="right" vertical="center" shrinkToFit="1"/>
    </xf>
    <xf numFmtId="49" fontId="4" fillId="25" borderId="11" xfId="0" applyNumberFormat="1" applyFont="1" applyFill="1" applyBorder="1" applyAlignment="1">
      <alignment horizontal="right" vertical="center" shrinkToFit="1"/>
    </xf>
    <xf numFmtId="49" fontId="3" fillId="25" borderId="11" xfId="0" applyNumberFormat="1" applyFont="1" applyFill="1" applyBorder="1" applyAlignment="1">
      <alignment horizontal="right" vertical="center" shrinkToFit="1"/>
    </xf>
    <xf numFmtId="49" fontId="3" fillId="0" borderId="11" xfId="0" applyNumberFormat="1" applyFont="1" applyFill="1" applyBorder="1" applyAlignment="1">
      <alignment horizontal="right" vertical="center" shrinkToFit="1"/>
    </xf>
    <xf numFmtId="4" fontId="3" fillId="26" borderId="12" xfId="0" applyNumberFormat="1" applyFont="1" applyFill="1" applyBorder="1" applyAlignment="1" applyProtection="1">
      <alignment shrinkToFit="1"/>
      <protection locked="0"/>
    </xf>
    <xf numFmtId="4" fontId="3" fillId="26" borderId="12" xfId="0" applyNumberFormat="1" applyFont="1" applyFill="1" applyBorder="1" applyAlignment="1">
      <alignment shrinkToFit="1"/>
    </xf>
    <xf numFmtId="4" fontId="4" fillId="26" borderId="12" xfId="0" applyNumberFormat="1" applyFont="1" applyFill="1" applyBorder="1" applyAlignment="1">
      <alignment shrinkToFit="1"/>
    </xf>
    <xf numFmtId="4" fontId="4" fillId="26" borderId="12" xfId="0" applyNumberFormat="1" applyFont="1" applyFill="1" applyBorder="1" applyAlignment="1" applyProtection="1">
      <alignment shrinkToFit="1"/>
      <protection locked="0"/>
    </xf>
    <xf numFmtId="4" fontId="4" fillId="26" borderId="11" xfId="0" applyNumberFormat="1" applyFont="1" applyFill="1" applyBorder="1" applyAlignment="1" applyProtection="1">
      <alignment shrinkToFit="1"/>
      <protection locked="0"/>
    </xf>
    <xf numFmtId="4" fontId="3" fillId="26" borderId="13" xfId="0" applyNumberFormat="1" applyFont="1" applyFill="1" applyBorder="1" applyAlignment="1">
      <alignment shrinkToFit="1"/>
    </xf>
    <xf numFmtId="4" fontId="3" fillId="26" borderId="11" xfId="0" applyNumberFormat="1" applyFont="1" applyFill="1" applyBorder="1" applyAlignment="1" applyProtection="1">
      <alignment shrinkToFit="1"/>
      <protection locked="0"/>
    </xf>
    <xf numFmtId="0" fontId="3" fillId="0" borderId="14" xfId="0" applyFont="1" applyFill="1" applyBorder="1" applyAlignment="1">
      <alignment horizontal="left" vertical="justify" shrinkToFit="1"/>
    </xf>
    <xf numFmtId="0" fontId="3" fillId="0" borderId="11" xfId="0" applyFont="1" applyFill="1" applyBorder="1" applyAlignment="1">
      <alignment horizontal="left" vertical="justify" wrapText="1"/>
    </xf>
    <xf numFmtId="0" fontId="4" fillId="0" borderId="14" xfId="0" applyFont="1" applyFill="1" applyBorder="1" applyAlignment="1">
      <alignment horizontal="left" vertical="justify" shrinkToFit="1"/>
    </xf>
    <xf numFmtId="0" fontId="7" fillId="0" borderId="14" xfId="0" applyFont="1" applyFill="1" applyBorder="1" applyAlignment="1">
      <alignment horizontal="center" vertical="top" shrinkToFit="1"/>
    </xf>
    <xf numFmtId="0" fontId="3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27" fillId="0" borderId="15" xfId="0" applyFont="1" applyFill="1" applyBorder="1" applyAlignment="1">
      <alignment horizontal="left" vertical="top" shrinkToFit="1"/>
    </xf>
    <xf numFmtId="0" fontId="6" fillId="24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3" fillId="0" borderId="16" xfId="0" applyFont="1" applyFill="1" applyBorder="1" applyAlignment="1">
      <alignment horizontal="left" vertical="justify" shrinkToFit="1"/>
    </xf>
    <xf numFmtId="0" fontId="3" fillId="0" borderId="17" xfId="0" applyFont="1" applyFill="1" applyBorder="1" applyAlignment="1">
      <alignment horizontal="left" vertical="justify" wrapText="1"/>
    </xf>
    <xf numFmtId="0" fontId="4" fillId="0" borderId="11" xfId="0" applyFont="1" applyBorder="1" applyAlignment="1">
      <alignment horizontal="left" vertical="justify" wrapText="1"/>
    </xf>
    <xf numFmtId="3" fontId="4" fillId="0" borderId="14" xfId="0" applyNumberFormat="1" applyFont="1" applyFill="1" applyBorder="1" applyAlignment="1">
      <alignment horizontal="left" vertical="justify" shrinkToFit="1"/>
    </xf>
    <xf numFmtId="0" fontId="4" fillId="0" borderId="11" xfId="0" applyFont="1" applyFill="1" applyBorder="1" applyAlignment="1">
      <alignment horizontal="left" vertical="justify" shrinkToFit="1"/>
    </xf>
    <xf numFmtId="0" fontId="7" fillId="0" borderId="11" xfId="0" applyFont="1" applyFill="1" applyBorder="1" applyAlignment="1">
      <alignment horizontal="left" vertical="top" shrinkToFit="1"/>
    </xf>
    <xf numFmtId="0" fontId="7" fillId="0" borderId="11" xfId="0" applyFont="1" applyBorder="1" applyAlignment="1">
      <alignment horizontal="left" vertical="justify" wrapText="1"/>
    </xf>
    <xf numFmtId="0" fontId="4" fillId="0" borderId="11" xfId="0" applyFont="1" applyBorder="1" applyAlignment="1">
      <alignment horizontal="left" vertical="top" wrapText="1"/>
    </xf>
    <xf numFmtId="0" fontId="6" fillId="24" borderId="11" xfId="0" applyFont="1" applyFill="1" applyBorder="1" applyAlignment="1">
      <alignment horizontal="left" vertical="justify" wrapText="1"/>
    </xf>
    <xf numFmtId="0" fontId="6" fillId="24" borderId="14" xfId="0" applyFont="1" applyFill="1" applyBorder="1" applyAlignment="1">
      <alignment horizontal="left" vertical="top" wrapText="1"/>
    </xf>
    <xf numFmtId="0" fontId="6" fillId="24" borderId="14" xfId="0" applyFont="1" applyFill="1" applyBorder="1" applyAlignment="1">
      <alignment horizontal="left" vertical="justify" wrapText="1"/>
    </xf>
    <xf numFmtId="0" fontId="3" fillId="0" borderId="11" xfId="0" applyFont="1" applyFill="1" applyBorder="1" applyAlignment="1">
      <alignment horizontal="left" vertical="center" wrapText="1"/>
    </xf>
    <xf numFmtId="4" fontId="4" fillId="24" borderId="18" xfId="0" applyNumberFormat="1" applyFont="1" applyFill="1" applyBorder="1" applyAlignment="1">
      <alignment horizontal="center" vertical="center" wrapText="1"/>
    </xf>
    <xf numFmtId="4" fontId="4" fillId="24" borderId="19" xfId="0" applyNumberFormat="1" applyFont="1" applyFill="1" applyBorder="1" applyAlignment="1">
      <alignment horizontal="center" vertical="center" wrapText="1"/>
    </xf>
    <xf numFmtId="4" fontId="4" fillId="24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 shrinkToFit="1"/>
    </xf>
    <xf numFmtId="49" fontId="4" fillId="0" borderId="19" xfId="0" applyNumberFormat="1" applyFont="1" applyFill="1" applyBorder="1" applyAlignment="1">
      <alignment horizontal="center" vertical="center" wrapText="1" shrinkToFit="1"/>
    </xf>
    <xf numFmtId="49" fontId="4" fillId="0" borderId="17" xfId="0" applyNumberFormat="1" applyFont="1" applyFill="1" applyBorder="1" applyAlignment="1">
      <alignment horizontal="center" vertical="center" wrapText="1" shrinkToFit="1"/>
    </xf>
    <xf numFmtId="0" fontId="2" fillId="24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right" vertical="center"/>
    </xf>
    <xf numFmtId="49" fontId="4" fillId="24" borderId="18" xfId="0" applyNumberFormat="1" applyFont="1" applyFill="1" applyBorder="1" applyAlignment="1">
      <alignment horizontal="center" vertical="center" wrapText="1" shrinkToFit="1"/>
    </xf>
    <xf numFmtId="49" fontId="4" fillId="24" borderId="19" xfId="0" applyNumberFormat="1" applyFont="1" applyFill="1" applyBorder="1" applyAlignment="1">
      <alignment horizontal="center" vertical="center" wrapText="1" shrinkToFit="1"/>
    </xf>
    <xf numFmtId="49" fontId="4" fillId="24" borderId="17" xfId="0" applyNumberFormat="1" applyFont="1" applyFill="1" applyBorder="1" applyAlignment="1">
      <alignment horizontal="center" vertical="center" wrapText="1" shrinkToFi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left" vertical="top" wrapText="1"/>
    </xf>
    <xf numFmtId="0" fontId="7" fillId="24" borderId="14" xfId="0" applyFont="1" applyFill="1" applyBorder="1" applyAlignment="1">
      <alignment horizontal="left" vertical="justify" wrapText="1"/>
    </xf>
    <xf numFmtId="3" fontId="6" fillId="0" borderId="14" xfId="0" applyNumberFormat="1" applyFont="1" applyFill="1" applyBorder="1" applyAlignment="1">
      <alignment horizontal="center" vertical="top" shrinkToFit="1"/>
    </xf>
    <xf numFmtId="0" fontId="6" fillId="0" borderId="11" xfId="0" applyFont="1" applyFill="1" applyBorder="1" applyAlignment="1">
      <alignment horizontal="left" vertical="top" shrinkToFit="1"/>
    </xf>
    <xf numFmtId="0" fontId="4" fillId="0" borderId="11" xfId="0" applyFont="1" applyFill="1" applyBorder="1" applyAlignment="1">
      <alignment horizontal="left" vertical="top" wrapText="1"/>
    </xf>
    <xf numFmtId="4" fontId="4" fillId="26" borderId="13" xfId="0" applyNumberFormat="1" applyFont="1" applyFill="1" applyBorder="1" applyAlignment="1">
      <alignment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showGridLines="0" showZeros="0" tabSelected="1" view="pageBreakPreview" zoomScale="85" zoomScaleNormal="70" zoomScaleSheetLayoutView="85" zoomScalePageLayoutView="0" workbookViewId="0" topLeftCell="A1">
      <selection activeCell="Q100" sqref="Q100"/>
    </sheetView>
  </sheetViews>
  <sheetFormatPr defaultColWidth="9.140625" defaultRowHeight="15"/>
  <cols>
    <col min="1" max="1" width="23.00390625" style="6" customWidth="1"/>
    <col min="2" max="2" width="84.57421875" style="6" customWidth="1"/>
    <col min="3" max="4" width="20.140625" style="7" hidden="1" customWidth="1"/>
    <col min="5" max="5" width="20.140625" style="7" customWidth="1"/>
    <col min="6" max="6" width="20.28125" style="7" customWidth="1"/>
    <col min="7" max="7" width="20.57421875" style="1" hidden="1" customWidth="1"/>
    <col min="8" max="8" width="25.421875" style="1" hidden="1" customWidth="1"/>
    <col min="9" max="9" width="24.140625" style="1" hidden="1" customWidth="1"/>
    <col min="10" max="10" width="21.00390625" style="1" hidden="1" customWidth="1"/>
    <col min="11" max="11" width="24.140625" style="1" hidden="1" customWidth="1"/>
    <col min="12" max="12" width="21.00390625" style="1" hidden="1" customWidth="1"/>
    <col min="13" max="13" width="18.57421875" style="2" customWidth="1"/>
    <col min="14" max="14" width="12.00390625" style="2" customWidth="1"/>
    <col min="15" max="15" width="12.28125" style="2" customWidth="1"/>
    <col min="16" max="16" width="20.8515625" style="2" customWidth="1"/>
    <col min="17" max="16384" width="9.140625" style="2" customWidth="1"/>
  </cols>
  <sheetData>
    <row r="1" spans="1:15" ht="20.25" customHeight="1">
      <c r="A1" s="81" t="s">
        <v>154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.75">
      <c r="A2" s="10"/>
      <c r="B2" s="10"/>
      <c r="C2" s="11"/>
      <c r="D2" s="12"/>
      <c r="E2" s="12"/>
      <c r="F2" s="12"/>
      <c r="G2" s="13"/>
      <c r="H2" s="13"/>
      <c r="I2" s="13"/>
      <c r="J2" s="13"/>
      <c r="K2" s="13"/>
      <c r="L2" s="13" t="s">
        <v>38</v>
      </c>
      <c r="M2" s="14"/>
      <c r="N2" s="82" t="s">
        <v>56</v>
      </c>
      <c r="O2" s="82"/>
    </row>
    <row r="3" spans="1:15" ht="27" customHeight="1">
      <c r="A3" s="78" t="s">
        <v>0</v>
      </c>
      <c r="B3" s="78" t="s">
        <v>1</v>
      </c>
      <c r="C3" s="86" t="s">
        <v>39</v>
      </c>
      <c r="D3" s="86" t="s">
        <v>54</v>
      </c>
      <c r="E3" s="83" t="s">
        <v>155</v>
      </c>
      <c r="F3" s="78" t="s">
        <v>147</v>
      </c>
      <c r="G3" s="75" t="s">
        <v>40</v>
      </c>
      <c r="H3" s="75" t="s">
        <v>54</v>
      </c>
      <c r="I3" s="75" t="s">
        <v>40</v>
      </c>
      <c r="J3" s="75" t="s">
        <v>48</v>
      </c>
      <c r="K3" s="75" t="s">
        <v>54</v>
      </c>
      <c r="L3" s="75" t="s">
        <v>48</v>
      </c>
      <c r="M3" s="83" t="s">
        <v>156</v>
      </c>
      <c r="N3" s="83" t="s">
        <v>95</v>
      </c>
      <c r="O3" s="78" t="s">
        <v>148</v>
      </c>
    </row>
    <row r="4" spans="1:15" ht="39.75" customHeight="1">
      <c r="A4" s="79"/>
      <c r="B4" s="79"/>
      <c r="C4" s="87"/>
      <c r="D4" s="87"/>
      <c r="E4" s="84"/>
      <c r="F4" s="79"/>
      <c r="G4" s="76"/>
      <c r="H4" s="76"/>
      <c r="I4" s="76"/>
      <c r="J4" s="76"/>
      <c r="K4" s="76"/>
      <c r="L4" s="76"/>
      <c r="M4" s="84"/>
      <c r="N4" s="84"/>
      <c r="O4" s="79"/>
    </row>
    <row r="5" spans="1:15" ht="35.25" customHeight="1">
      <c r="A5" s="80"/>
      <c r="B5" s="80"/>
      <c r="C5" s="88"/>
      <c r="D5" s="88"/>
      <c r="E5" s="85"/>
      <c r="F5" s="80"/>
      <c r="G5" s="77"/>
      <c r="H5" s="77"/>
      <c r="I5" s="77"/>
      <c r="J5" s="77"/>
      <c r="K5" s="77"/>
      <c r="L5" s="77"/>
      <c r="M5" s="85"/>
      <c r="N5" s="85"/>
      <c r="O5" s="80"/>
    </row>
    <row r="6" spans="1:15" ht="18.75" customHeight="1" hidden="1">
      <c r="A6" s="15" t="s">
        <v>2</v>
      </c>
      <c r="B6" s="15" t="s">
        <v>3</v>
      </c>
      <c r="C6" s="15">
        <v>3</v>
      </c>
      <c r="D6" s="15">
        <v>4</v>
      </c>
      <c r="E6" s="15"/>
      <c r="F6" s="15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7"/>
      <c r="N6" s="17"/>
      <c r="O6" s="14"/>
    </row>
    <row r="7" spans="1:16" ht="18.75">
      <c r="A7" s="32" t="s">
        <v>4</v>
      </c>
      <c r="B7" s="18" t="s">
        <v>5</v>
      </c>
      <c r="C7" s="19" t="e">
        <f>C8+C14+C20+#REF!+#REF!+C27+C30+C41+C47+C51+#REF!+C59</f>
        <v>#REF!</v>
      </c>
      <c r="D7" s="19" t="e">
        <f>F7-C7</f>
        <v>#REF!</v>
      </c>
      <c r="E7" s="19">
        <f>E8+E14+E20+E27+E30+E41+E47+E51+E59+E69</f>
        <v>17825081.449999996</v>
      </c>
      <c r="F7" s="19">
        <f>F8+F14+F20+F27+F30+F41+F47+F51+F59+F69</f>
        <v>38508000</v>
      </c>
      <c r="G7" s="19" t="e">
        <f>G8+G14+G20+G27+#REF!+G30+G41+G47+G51+G59+G69</f>
        <v>#REF!</v>
      </c>
      <c r="H7" s="19" t="e">
        <f>H8+H14+H20+H27+#REF!+H30+H41+H47+H51+H59+H69</f>
        <v>#REF!</v>
      </c>
      <c r="I7" s="19" t="e">
        <f>I8+I14+I20+I27+#REF!+I30+I41+I47+I51+I59+I69</f>
        <v>#REF!</v>
      </c>
      <c r="J7" s="19" t="e">
        <f>J8+J14+J20+J27+#REF!+J30+J41+J47+J51+J59+J69</f>
        <v>#REF!</v>
      </c>
      <c r="K7" s="19" t="e">
        <f>K8+K14+K20+K27+#REF!+K30+K41+K47+K51+K59+K69</f>
        <v>#REF!</v>
      </c>
      <c r="L7" s="19" t="e">
        <f>L8+L14+L20+L27+#REF!+L30+L41+L47+L51+L59+L69</f>
        <v>#REF!</v>
      </c>
      <c r="M7" s="19">
        <f>M8+M14+M20+M27+M30+M41+M47+M51+M59+M69</f>
        <v>18020564.169999994</v>
      </c>
      <c r="N7" s="21">
        <f aca="true" t="shared" si="0" ref="N7:N24">M7/F7*100</f>
        <v>46.79693614313907</v>
      </c>
      <c r="O7" s="21">
        <f aca="true" t="shared" si="1" ref="O7:O40">M7/E7*100</f>
        <v>101.09667223989038</v>
      </c>
      <c r="P7" s="5"/>
    </row>
    <row r="8" spans="1:18" ht="18.75">
      <c r="A8" s="32" t="s">
        <v>6</v>
      </c>
      <c r="B8" s="18" t="s">
        <v>7</v>
      </c>
      <c r="C8" s="19" t="e">
        <f>#REF!+C9</f>
        <v>#REF!</v>
      </c>
      <c r="D8" s="19" t="e">
        <f>F8-C8</f>
        <v>#REF!</v>
      </c>
      <c r="E8" s="19">
        <f aca="true" t="shared" si="2" ref="E8:M8">E9</f>
        <v>12693752.389999999</v>
      </c>
      <c r="F8" s="19">
        <f t="shared" si="2"/>
        <v>27589000</v>
      </c>
      <c r="G8" s="19">
        <f t="shared" si="2"/>
        <v>9298471000</v>
      </c>
      <c r="H8" s="19">
        <f t="shared" si="2"/>
        <v>0</v>
      </c>
      <c r="I8" s="19">
        <f t="shared" si="2"/>
        <v>9298471000</v>
      </c>
      <c r="J8" s="19">
        <f t="shared" si="2"/>
        <v>10179540000</v>
      </c>
      <c r="K8" s="19">
        <f t="shared" si="2"/>
        <v>0</v>
      </c>
      <c r="L8" s="19">
        <f t="shared" si="2"/>
        <v>10179540000</v>
      </c>
      <c r="M8" s="19">
        <f t="shared" si="2"/>
        <v>10635773.77</v>
      </c>
      <c r="N8" s="21">
        <f t="shared" si="0"/>
        <v>38.55077665011418</v>
      </c>
      <c r="O8" s="21">
        <f t="shared" si="1"/>
        <v>83.78746837994687</v>
      </c>
      <c r="P8" s="1"/>
      <c r="R8" s="4"/>
    </row>
    <row r="9" spans="1:16" ht="18.75">
      <c r="A9" s="33" t="s">
        <v>8</v>
      </c>
      <c r="B9" s="22" t="s">
        <v>9</v>
      </c>
      <c r="C9" s="23">
        <f>8539643000+14616000</f>
        <v>8554259000</v>
      </c>
      <c r="D9" s="23">
        <f>F9-C9</f>
        <v>-8526670000</v>
      </c>
      <c r="E9" s="23">
        <f>E10+E11+E12+E13</f>
        <v>12693752.389999999</v>
      </c>
      <c r="F9" s="23">
        <f>F10+F11+F12+F13</f>
        <v>27589000</v>
      </c>
      <c r="G9" s="25">
        <v>9298471000</v>
      </c>
      <c r="H9" s="25">
        <f>I9-G9</f>
        <v>0</v>
      </c>
      <c r="I9" s="25">
        <f>9298471000</f>
        <v>9298471000</v>
      </c>
      <c r="J9" s="25">
        <v>10179540000</v>
      </c>
      <c r="K9" s="25">
        <f>L9-J9</f>
        <v>0</v>
      </c>
      <c r="L9" s="25">
        <f>10179540000</f>
        <v>10179540000</v>
      </c>
      <c r="M9" s="23">
        <f>M10+M11+M12+M13</f>
        <v>10635773.77</v>
      </c>
      <c r="N9" s="24">
        <f t="shared" si="0"/>
        <v>38.55077665011418</v>
      </c>
      <c r="O9" s="24">
        <f t="shared" si="1"/>
        <v>83.78746837994687</v>
      </c>
      <c r="P9" s="1"/>
    </row>
    <row r="10" spans="1:16" ht="46.5" customHeight="1">
      <c r="A10" s="15" t="s">
        <v>57</v>
      </c>
      <c r="B10" s="30" t="s">
        <v>58</v>
      </c>
      <c r="C10" s="23"/>
      <c r="D10" s="23"/>
      <c r="E10" s="23">
        <v>12640351.26</v>
      </c>
      <c r="F10" s="23">
        <v>27426000</v>
      </c>
      <c r="G10" s="25"/>
      <c r="H10" s="25"/>
      <c r="I10" s="25"/>
      <c r="J10" s="25"/>
      <c r="K10" s="25"/>
      <c r="L10" s="25"/>
      <c r="M10" s="23">
        <v>10585252.63</v>
      </c>
      <c r="N10" s="24">
        <f t="shared" si="0"/>
        <v>38.59568522569825</v>
      </c>
      <c r="O10" s="24">
        <f t="shared" si="1"/>
        <v>83.74176011624539</v>
      </c>
      <c r="P10" s="1"/>
    </row>
    <row r="11" spans="1:16" ht="75">
      <c r="A11" s="15" t="s">
        <v>59</v>
      </c>
      <c r="B11" s="30" t="s">
        <v>60</v>
      </c>
      <c r="C11" s="23"/>
      <c r="D11" s="23"/>
      <c r="E11" s="23">
        <v>3984.12</v>
      </c>
      <c r="F11" s="23">
        <v>16000</v>
      </c>
      <c r="G11" s="25"/>
      <c r="H11" s="25"/>
      <c r="I11" s="25"/>
      <c r="J11" s="25"/>
      <c r="K11" s="25"/>
      <c r="L11" s="25"/>
      <c r="M11" s="23">
        <v>3469.62</v>
      </c>
      <c r="N11" s="24">
        <f t="shared" si="0"/>
        <v>21.685125</v>
      </c>
      <c r="O11" s="24">
        <f t="shared" si="1"/>
        <v>87.08623234239933</v>
      </c>
      <c r="P11" s="1"/>
    </row>
    <row r="12" spans="1:16" ht="33" customHeight="1">
      <c r="A12" s="15" t="s">
        <v>61</v>
      </c>
      <c r="B12" s="30" t="s">
        <v>96</v>
      </c>
      <c r="C12" s="23"/>
      <c r="D12" s="23"/>
      <c r="E12" s="23">
        <v>44103.93</v>
      </c>
      <c r="F12" s="23">
        <v>130000</v>
      </c>
      <c r="G12" s="25"/>
      <c r="H12" s="25"/>
      <c r="I12" s="25"/>
      <c r="J12" s="25"/>
      <c r="K12" s="25"/>
      <c r="L12" s="25"/>
      <c r="M12" s="23">
        <v>37085.41</v>
      </c>
      <c r="N12" s="24">
        <f t="shared" si="0"/>
        <v>28.527238461538463</v>
      </c>
      <c r="O12" s="24">
        <f t="shared" si="1"/>
        <v>84.08640681227274</v>
      </c>
      <c r="P12" s="1"/>
    </row>
    <row r="13" spans="1:16" ht="60.75" customHeight="1">
      <c r="A13" s="15" t="s">
        <v>62</v>
      </c>
      <c r="B13" s="30" t="s">
        <v>63</v>
      </c>
      <c r="C13" s="23"/>
      <c r="D13" s="23"/>
      <c r="E13" s="23">
        <v>5313.08</v>
      </c>
      <c r="F13" s="23">
        <v>17000</v>
      </c>
      <c r="G13" s="25"/>
      <c r="H13" s="25"/>
      <c r="I13" s="25"/>
      <c r="J13" s="25"/>
      <c r="K13" s="25"/>
      <c r="L13" s="25"/>
      <c r="M13" s="23">
        <v>9966.11</v>
      </c>
      <c r="N13" s="24">
        <f t="shared" si="0"/>
        <v>58.62417647058824</v>
      </c>
      <c r="O13" s="24">
        <f t="shared" si="1"/>
        <v>187.57688572353516</v>
      </c>
      <c r="P13" s="1"/>
    </row>
    <row r="14" spans="1:15" ht="28.5">
      <c r="A14" s="32" t="s">
        <v>10</v>
      </c>
      <c r="B14" s="18" t="s">
        <v>11</v>
      </c>
      <c r="C14" s="19" t="e">
        <f>#REF!+#REF!+#REF!+C16+C17+C18</f>
        <v>#REF!</v>
      </c>
      <c r="D14" s="19" t="e">
        <f>F14-C14</f>
        <v>#REF!</v>
      </c>
      <c r="E14" s="19">
        <f aca="true" t="shared" si="3" ref="E14:M14">E15</f>
        <v>2352908.0599999996</v>
      </c>
      <c r="F14" s="19">
        <f t="shared" si="3"/>
        <v>3731000</v>
      </c>
      <c r="G14" s="19">
        <f t="shared" si="3"/>
        <v>1540071000</v>
      </c>
      <c r="H14" s="19">
        <f t="shared" si="3"/>
        <v>0</v>
      </c>
      <c r="I14" s="19">
        <f t="shared" si="3"/>
        <v>1540071000</v>
      </c>
      <c r="J14" s="19">
        <f t="shared" si="3"/>
        <v>1155053000</v>
      </c>
      <c r="K14" s="19">
        <f t="shared" si="3"/>
        <v>0</v>
      </c>
      <c r="L14" s="19">
        <f t="shared" si="3"/>
        <v>1155053000</v>
      </c>
      <c r="M14" s="19">
        <f t="shared" si="3"/>
        <v>2110941.04</v>
      </c>
      <c r="N14" s="21">
        <f t="shared" si="0"/>
        <v>56.578425087108016</v>
      </c>
      <c r="O14" s="21">
        <f t="shared" si="1"/>
        <v>89.71625691145792</v>
      </c>
    </row>
    <row r="15" spans="1:15" ht="30">
      <c r="A15" s="33" t="s">
        <v>93</v>
      </c>
      <c r="B15" s="30" t="s">
        <v>94</v>
      </c>
      <c r="C15" s="19"/>
      <c r="D15" s="19"/>
      <c r="E15" s="23">
        <f aca="true" t="shared" si="4" ref="E15:M15">SUM(E16:E19)</f>
        <v>2352908.0599999996</v>
      </c>
      <c r="F15" s="23">
        <f t="shared" si="4"/>
        <v>3731000</v>
      </c>
      <c r="G15" s="23">
        <f t="shared" si="4"/>
        <v>1540071000</v>
      </c>
      <c r="H15" s="23">
        <f t="shared" si="4"/>
        <v>0</v>
      </c>
      <c r="I15" s="23">
        <f t="shared" si="4"/>
        <v>1540071000</v>
      </c>
      <c r="J15" s="23">
        <f t="shared" si="4"/>
        <v>1155053000</v>
      </c>
      <c r="K15" s="23">
        <f t="shared" si="4"/>
        <v>0</v>
      </c>
      <c r="L15" s="23">
        <f t="shared" si="4"/>
        <v>1155053000</v>
      </c>
      <c r="M15" s="23">
        <f t="shared" si="4"/>
        <v>2110941.04</v>
      </c>
      <c r="N15" s="24">
        <f t="shared" si="0"/>
        <v>56.578425087108016</v>
      </c>
      <c r="O15" s="24">
        <f t="shared" si="1"/>
        <v>89.71625691145792</v>
      </c>
    </row>
    <row r="16" spans="1:15" ht="45">
      <c r="A16" s="33" t="s">
        <v>43</v>
      </c>
      <c r="B16" s="22" t="s">
        <v>46</v>
      </c>
      <c r="C16" s="23">
        <f>394565000+133906000</f>
        <v>528471000</v>
      </c>
      <c r="D16" s="23">
        <f>F16-C16</f>
        <v>-526945000</v>
      </c>
      <c r="E16" s="23">
        <v>800260.61</v>
      </c>
      <c r="F16" s="23">
        <v>1526000</v>
      </c>
      <c r="G16" s="25">
        <f>488977000+71202000</f>
        <v>560179000</v>
      </c>
      <c r="H16" s="20">
        <f>I16-G16</f>
        <v>0</v>
      </c>
      <c r="I16" s="25">
        <f>488977000+71202000</f>
        <v>560179000</v>
      </c>
      <c r="J16" s="25">
        <f>457193000-37059000</f>
        <v>420134000</v>
      </c>
      <c r="K16" s="25">
        <f>L16-J16</f>
        <v>0</v>
      </c>
      <c r="L16" s="25">
        <f>457193000-37059000</f>
        <v>420134000</v>
      </c>
      <c r="M16" s="23">
        <v>833642.57</v>
      </c>
      <c r="N16" s="24">
        <f t="shared" si="0"/>
        <v>54.62926408912189</v>
      </c>
      <c r="O16" s="24">
        <f t="shared" si="1"/>
        <v>104.17138611882946</v>
      </c>
    </row>
    <row r="17" spans="1:15" ht="68.25" customHeight="1">
      <c r="A17" s="33" t="s">
        <v>44</v>
      </c>
      <c r="B17" s="22" t="s">
        <v>47</v>
      </c>
      <c r="C17" s="23">
        <f>13811000+1932000</f>
        <v>15743000</v>
      </c>
      <c r="D17" s="23">
        <f>F17-C17</f>
        <v>-15724000</v>
      </c>
      <c r="E17" s="23">
        <v>13193.35</v>
      </c>
      <c r="F17" s="23">
        <v>19000</v>
      </c>
      <c r="G17" s="25">
        <f>15280000+1408000</f>
        <v>16688000</v>
      </c>
      <c r="H17" s="20">
        <f>I17-G17</f>
        <v>0</v>
      </c>
      <c r="I17" s="25">
        <f>15280000+1408000</f>
        <v>16688000</v>
      </c>
      <c r="J17" s="25">
        <f>14210000-1694000</f>
        <v>12516000</v>
      </c>
      <c r="K17" s="25">
        <f>L17-J17</f>
        <v>0</v>
      </c>
      <c r="L17" s="25">
        <f>14210000-1694000</f>
        <v>12516000</v>
      </c>
      <c r="M17" s="23">
        <v>9060.56</v>
      </c>
      <c r="N17" s="24">
        <f t="shared" si="0"/>
        <v>47.687157894736835</v>
      </c>
      <c r="O17" s="24">
        <f t="shared" si="1"/>
        <v>68.67520379585169</v>
      </c>
    </row>
    <row r="18" spans="1:15" ht="45">
      <c r="A18" s="33" t="s">
        <v>45</v>
      </c>
      <c r="B18" s="22" t="s">
        <v>49</v>
      </c>
      <c r="C18" s="23">
        <f>801965000+106718000</f>
        <v>908683000</v>
      </c>
      <c r="D18" s="23">
        <f>F18-C18</f>
        <v>-906314000</v>
      </c>
      <c r="E18" s="23">
        <v>1665424.59</v>
      </c>
      <c r="F18" s="23">
        <v>2369000</v>
      </c>
      <c r="G18" s="25">
        <f>1008512000-45308000</f>
        <v>963204000</v>
      </c>
      <c r="H18" s="20">
        <f>I18-G18</f>
        <v>0</v>
      </c>
      <c r="I18" s="25">
        <f>1008512000-45308000</f>
        <v>963204000</v>
      </c>
      <c r="J18" s="25">
        <f>736214000-13811000</f>
        <v>722403000</v>
      </c>
      <c r="K18" s="25">
        <f>L18-J18</f>
        <v>0</v>
      </c>
      <c r="L18" s="25">
        <f>736214000-13811000</f>
        <v>722403000</v>
      </c>
      <c r="M18" s="23">
        <v>1437329</v>
      </c>
      <c r="N18" s="24">
        <f t="shared" si="0"/>
        <v>60.672393414943016</v>
      </c>
      <c r="O18" s="24">
        <f t="shared" si="1"/>
        <v>86.30405775382481</v>
      </c>
    </row>
    <row r="19" spans="1:15" ht="45">
      <c r="A19" s="15" t="s">
        <v>64</v>
      </c>
      <c r="B19" s="30" t="s">
        <v>65</v>
      </c>
      <c r="C19" s="23"/>
      <c r="D19" s="23"/>
      <c r="E19" s="23">
        <v>-125970.49</v>
      </c>
      <c r="F19" s="23">
        <v>-183000</v>
      </c>
      <c r="G19" s="25"/>
      <c r="H19" s="20"/>
      <c r="I19" s="25"/>
      <c r="J19" s="25"/>
      <c r="K19" s="25"/>
      <c r="L19" s="25"/>
      <c r="M19" s="23">
        <v>-169091.09</v>
      </c>
      <c r="N19" s="24">
        <f t="shared" si="0"/>
        <v>92.39950273224044</v>
      </c>
      <c r="O19" s="24">
        <f t="shared" si="1"/>
        <v>134.23071546359785</v>
      </c>
    </row>
    <row r="20" spans="1:15" ht="18.75">
      <c r="A20" s="32" t="s">
        <v>41</v>
      </c>
      <c r="B20" s="18" t="s">
        <v>42</v>
      </c>
      <c r="C20" s="19">
        <f>C21</f>
        <v>1293711000</v>
      </c>
      <c r="D20" s="23">
        <f>F20-C20</f>
        <v>-1291649000</v>
      </c>
      <c r="E20" s="19">
        <f>E21+E24</f>
        <v>1025240.04</v>
      </c>
      <c r="F20" s="19">
        <f>F21+F24</f>
        <v>2062000</v>
      </c>
      <c r="G20" s="19" t="e">
        <f>G21+G24+#REF!</f>
        <v>#REF!</v>
      </c>
      <c r="H20" s="19" t="e">
        <f>H21+H24+#REF!</f>
        <v>#REF!</v>
      </c>
      <c r="I20" s="19" t="e">
        <f>I21+I24+#REF!</f>
        <v>#REF!</v>
      </c>
      <c r="J20" s="19" t="e">
        <f>J21+J24+#REF!</f>
        <v>#REF!</v>
      </c>
      <c r="K20" s="19" t="e">
        <f>K21+K24+#REF!</f>
        <v>#REF!</v>
      </c>
      <c r="L20" s="19" t="e">
        <f>L21+L24+#REF!</f>
        <v>#REF!</v>
      </c>
      <c r="M20" s="19">
        <f>M21+M24</f>
        <v>1589927.58</v>
      </c>
      <c r="N20" s="21">
        <f t="shared" si="0"/>
        <v>77.10609020368575</v>
      </c>
      <c r="O20" s="21">
        <f t="shared" si="1"/>
        <v>155.07856872230624</v>
      </c>
    </row>
    <row r="21" spans="1:15" ht="19.5" customHeight="1">
      <c r="A21" s="33" t="s">
        <v>97</v>
      </c>
      <c r="B21" s="27" t="s">
        <v>98</v>
      </c>
      <c r="C21" s="23">
        <f>1275209000+18502000</f>
        <v>1293711000</v>
      </c>
      <c r="D21" s="23">
        <f>F21-C21</f>
        <v>-1291882000</v>
      </c>
      <c r="E21" s="23">
        <f aca="true" t="shared" si="5" ref="E21:M21">E22+E23</f>
        <v>845742.0700000001</v>
      </c>
      <c r="F21" s="23">
        <f t="shared" si="5"/>
        <v>1829000</v>
      </c>
      <c r="G21" s="23">
        <f t="shared" si="5"/>
        <v>0</v>
      </c>
      <c r="H21" s="23">
        <f t="shared" si="5"/>
        <v>0</v>
      </c>
      <c r="I21" s="23">
        <f t="shared" si="5"/>
        <v>0</v>
      </c>
      <c r="J21" s="23">
        <f t="shared" si="5"/>
        <v>0</v>
      </c>
      <c r="K21" s="23">
        <f t="shared" si="5"/>
        <v>0</v>
      </c>
      <c r="L21" s="23">
        <f t="shared" si="5"/>
        <v>0</v>
      </c>
      <c r="M21" s="23">
        <f t="shared" si="5"/>
        <v>891642.8500000001</v>
      </c>
      <c r="N21" s="24">
        <f t="shared" si="0"/>
        <v>48.75029250956808</v>
      </c>
      <c r="O21" s="24">
        <f t="shared" si="1"/>
        <v>105.4272787919844</v>
      </c>
    </row>
    <row r="22" spans="1:15" ht="18.75">
      <c r="A22" s="15" t="s">
        <v>99</v>
      </c>
      <c r="B22" s="27" t="s">
        <v>98</v>
      </c>
      <c r="C22" s="23"/>
      <c r="D22" s="23"/>
      <c r="E22" s="23">
        <v>843804.16</v>
      </c>
      <c r="F22" s="23">
        <v>1829000</v>
      </c>
      <c r="G22" s="23">
        <f aca="true" t="shared" si="6" ref="G22:L22">G23</f>
        <v>0</v>
      </c>
      <c r="H22" s="23">
        <f t="shared" si="6"/>
        <v>0</v>
      </c>
      <c r="I22" s="23">
        <f t="shared" si="6"/>
        <v>0</v>
      </c>
      <c r="J22" s="23">
        <f t="shared" si="6"/>
        <v>0</v>
      </c>
      <c r="K22" s="23">
        <f t="shared" si="6"/>
        <v>0</v>
      </c>
      <c r="L22" s="23">
        <f t="shared" si="6"/>
        <v>0</v>
      </c>
      <c r="M22" s="23">
        <v>891642.31</v>
      </c>
      <c r="N22" s="24">
        <f t="shared" si="0"/>
        <v>48.75026298523784</v>
      </c>
      <c r="O22" s="24">
        <f t="shared" si="1"/>
        <v>105.66934275365507</v>
      </c>
    </row>
    <row r="23" spans="1:15" ht="30">
      <c r="A23" s="15" t="s">
        <v>100</v>
      </c>
      <c r="B23" s="27" t="s">
        <v>101</v>
      </c>
      <c r="C23" s="23"/>
      <c r="D23" s="23"/>
      <c r="E23" s="23">
        <v>1937.91</v>
      </c>
      <c r="F23" s="26" t="s">
        <v>168</v>
      </c>
      <c r="G23" s="25"/>
      <c r="H23" s="20"/>
      <c r="I23" s="25"/>
      <c r="J23" s="25"/>
      <c r="K23" s="25"/>
      <c r="L23" s="25"/>
      <c r="M23" s="23">
        <v>0.54</v>
      </c>
      <c r="N23" s="43" t="s">
        <v>168</v>
      </c>
      <c r="O23" s="24">
        <f t="shared" si="1"/>
        <v>0.027865071133334366</v>
      </c>
    </row>
    <row r="24" spans="1:15" ht="18.75">
      <c r="A24" s="15" t="s">
        <v>66</v>
      </c>
      <c r="B24" s="28" t="s">
        <v>67</v>
      </c>
      <c r="C24" s="23"/>
      <c r="D24" s="23"/>
      <c r="E24" s="23">
        <f aca="true" t="shared" si="7" ref="E24:M24">E25+E26</f>
        <v>179497.97</v>
      </c>
      <c r="F24" s="23">
        <f t="shared" si="7"/>
        <v>233000</v>
      </c>
      <c r="G24" s="23" t="e">
        <f t="shared" si="7"/>
        <v>#REF!</v>
      </c>
      <c r="H24" s="23" t="e">
        <f t="shared" si="7"/>
        <v>#REF!</v>
      </c>
      <c r="I24" s="23" t="e">
        <f t="shared" si="7"/>
        <v>#REF!</v>
      </c>
      <c r="J24" s="23" t="e">
        <f t="shared" si="7"/>
        <v>#REF!</v>
      </c>
      <c r="K24" s="23" t="e">
        <f t="shared" si="7"/>
        <v>#REF!</v>
      </c>
      <c r="L24" s="23" t="e">
        <f t="shared" si="7"/>
        <v>#REF!</v>
      </c>
      <c r="M24" s="23">
        <f t="shared" si="7"/>
        <v>698284.73</v>
      </c>
      <c r="N24" s="24">
        <f t="shared" si="0"/>
        <v>299.6930171673819</v>
      </c>
      <c r="O24" s="24">
        <f t="shared" si="1"/>
        <v>389.0209621869261</v>
      </c>
    </row>
    <row r="25" spans="1:15" ht="18.75">
      <c r="A25" s="15" t="s">
        <v>102</v>
      </c>
      <c r="B25" s="28" t="s">
        <v>103</v>
      </c>
      <c r="C25" s="23"/>
      <c r="D25" s="23"/>
      <c r="E25" s="23">
        <v>179497.98</v>
      </c>
      <c r="F25" s="23">
        <v>233000</v>
      </c>
      <c r="G25" s="23" t="e">
        <f>G26+#REF!</f>
        <v>#REF!</v>
      </c>
      <c r="H25" s="23" t="e">
        <f>H26+#REF!</f>
        <v>#REF!</v>
      </c>
      <c r="I25" s="23" t="e">
        <f>I26+#REF!</f>
        <v>#REF!</v>
      </c>
      <c r="J25" s="23" t="e">
        <f>J26+#REF!</f>
        <v>#REF!</v>
      </c>
      <c r="K25" s="23" t="e">
        <f>K26+#REF!</f>
        <v>#REF!</v>
      </c>
      <c r="L25" s="23" t="e">
        <f>L26+#REF!</f>
        <v>#REF!</v>
      </c>
      <c r="M25" s="23">
        <v>698284.73</v>
      </c>
      <c r="N25" s="24">
        <f>M25/F25*100</f>
        <v>299.6930171673819</v>
      </c>
      <c r="O25" s="24">
        <f t="shared" si="1"/>
        <v>389.0209405142052</v>
      </c>
    </row>
    <row r="26" spans="1:15" ht="30">
      <c r="A26" s="15" t="s">
        <v>68</v>
      </c>
      <c r="B26" s="28" t="s">
        <v>69</v>
      </c>
      <c r="C26" s="23"/>
      <c r="D26" s="23"/>
      <c r="E26" s="23">
        <v>-0.01</v>
      </c>
      <c r="F26" s="26" t="s">
        <v>168</v>
      </c>
      <c r="G26" s="44"/>
      <c r="H26" s="45"/>
      <c r="I26" s="44"/>
      <c r="J26" s="44"/>
      <c r="K26" s="44"/>
      <c r="L26" s="44"/>
      <c r="M26" s="26" t="s">
        <v>168</v>
      </c>
      <c r="N26" s="43" t="s">
        <v>168</v>
      </c>
      <c r="O26" s="43" t="s">
        <v>168</v>
      </c>
    </row>
    <row r="27" spans="1:15" ht="19.5" customHeight="1">
      <c r="A27" s="32" t="s">
        <v>12</v>
      </c>
      <c r="B27" s="18" t="s">
        <v>13</v>
      </c>
      <c r="C27" s="19" t="e">
        <f>C28+#REF!+#REF!+#REF!+#REF!+#REF!+#REF!+#REF!+#REF!+#REF!+#REF!+#REF!+#REF!+#REF!+#REF!</f>
        <v>#REF!</v>
      </c>
      <c r="D27" s="19" t="e">
        <f>F27-C27</f>
        <v>#REF!</v>
      </c>
      <c r="E27" s="19">
        <f>E28</f>
        <v>122820.04</v>
      </c>
      <c r="F27" s="19">
        <f>F28</f>
        <v>260000</v>
      </c>
      <c r="G27" s="19" t="e">
        <f>G28+#REF!</f>
        <v>#REF!</v>
      </c>
      <c r="H27" s="19" t="e">
        <f>H28+#REF!</f>
        <v>#REF!</v>
      </c>
      <c r="I27" s="19" t="e">
        <f>I28+#REF!</f>
        <v>#REF!</v>
      </c>
      <c r="J27" s="19" t="e">
        <f>J28+#REF!</f>
        <v>#REF!</v>
      </c>
      <c r="K27" s="19" t="e">
        <f>K28+#REF!</f>
        <v>#REF!</v>
      </c>
      <c r="L27" s="19" t="e">
        <f>L28+#REF!</f>
        <v>#REF!</v>
      </c>
      <c r="M27" s="19">
        <f>M28</f>
        <v>125816.36</v>
      </c>
      <c r="N27" s="21">
        <f>M27/F27*100</f>
        <v>48.39090769230769</v>
      </c>
      <c r="O27" s="21">
        <f t="shared" si="1"/>
        <v>102.43960187604564</v>
      </c>
    </row>
    <row r="28" spans="1:15" ht="30">
      <c r="A28" s="33" t="s">
        <v>104</v>
      </c>
      <c r="B28" s="22" t="s">
        <v>105</v>
      </c>
      <c r="C28" s="23">
        <v>356000</v>
      </c>
      <c r="D28" s="19">
        <f>F28-C28</f>
        <v>-96000</v>
      </c>
      <c r="E28" s="23">
        <f aca="true" t="shared" si="8" ref="E28:L28">E29</f>
        <v>122820.04</v>
      </c>
      <c r="F28" s="23">
        <v>260000</v>
      </c>
      <c r="G28" s="23">
        <f t="shared" si="8"/>
        <v>0</v>
      </c>
      <c r="H28" s="23">
        <f t="shared" si="8"/>
        <v>0</v>
      </c>
      <c r="I28" s="23">
        <f t="shared" si="8"/>
        <v>0</v>
      </c>
      <c r="J28" s="23">
        <f t="shared" si="8"/>
        <v>0</v>
      </c>
      <c r="K28" s="23">
        <f t="shared" si="8"/>
        <v>0</v>
      </c>
      <c r="L28" s="23">
        <f t="shared" si="8"/>
        <v>0</v>
      </c>
      <c r="M28" s="23">
        <v>125816.36</v>
      </c>
      <c r="N28" s="24">
        <f>M28/F28*100</f>
        <v>48.39090769230769</v>
      </c>
      <c r="O28" s="24">
        <f t="shared" si="1"/>
        <v>102.43960187604564</v>
      </c>
    </row>
    <row r="29" spans="1:15" ht="30">
      <c r="A29" s="15" t="s">
        <v>106</v>
      </c>
      <c r="B29" s="22" t="s">
        <v>107</v>
      </c>
      <c r="C29" s="23"/>
      <c r="D29" s="19"/>
      <c r="E29" s="23">
        <v>122820.04</v>
      </c>
      <c r="F29" s="23">
        <v>1755000</v>
      </c>
      <c r="G29" s="23"/>
      <c r="H29" s="23"/>
      <c r="I29" s="23"/>
      <c r="J29" s="23"/>
      <c r="K29" s="23"/>
      <c r="L29" s="23"/>
      <c r="M29" s="23">
        <v>478126.71</v>
      </c>
      <c r="N29" s="24">
        <f>M29/F29*100</f>
        <v>27.243687179487182</v>
      </c>
      <c r="O29" s="24">
        <f t="shared" si="1"/>
        <v>389.2904692100735</v>
      </c>
    </row>
    <row r="30" spans="1:15" ht="34.5" customHeight="1">
      <c r="A30" s="32" t="s">
        <v>14</v>
      </c>
      <c r="B30" s="18" t="s">
        <v>15</v>
      </c>
      <c r="C30" s="19" t="e">
        <f>#REF!+#REF!+C34+C36+C38+#REF!+#REF!</f>
        <v>#REF!</v>
      </c>
      <c r="D30" s="19" t="e">
        <f>F30-C30</f>
        <v>#REF!</v>
      </c>
      <c r="E30" s="19">
        <f>E31+E33+E39</f>
        <v>1147561.74</v>
      </c>
      <c r="F30" s="19">
        <f>F31+F33+F39</f>
        <v>4097000</v>
      </c>
      <c r="G30" s="19" t="e">
        <f>G31+G33+#REF!</f>
        <v>#REF!</v>
      </c>
      <c r="H30" s="19" t="e">
        <f>H31+H33+#REF!</f>
        <v>#REF!</v>
      </c>
      <c r="I30" s="19" t="e">
        <f>I31+I33+#REF!</f>
        <v>#REF!</v>
      </c>
      <c r="J30" s="19" t="e">
        <f>J31+J33+#REF!</f>
        <v>#REF!</v>
      </c>
      <c r="K30" s="19" t="e">
        <f>K31+K33+#REF!</f>
        <v>#REF!</v>
      </c>
      <c r="L30" s="19" t="e">
        <f>L31+L33+#REF!</f>
        <v>#REF!</v>
      </c>
      <c r="M30" s="19">
        <f>M31+M33+M39</f>
        <v>1737323.83</v>
      </c>
      <c r="N30" s="21">
        <f>M30/F30*100</f>
        <v>42.40477983890652</v>
      </c>
      <c r="O30" s="21">
        <f t="shared" si="1"/>
        <v>151.3926239820439</v>
      </c>
    </row>
    <row r="31" spans="1:15" ht="50.25" customHeight="1">
      <c r="A31" s="33" t="s">
        <v>139</v>
      </c>
      <c r="B31" s="22" t="s">
        <v>141</v>
      </c>
      <c r="C31" s="23"/>
      <c r="D31" s="23"/>
      <c r="E31" s="26" t="s">
        <v>168</v>
      </c>
      <c r="F31" s="23">
        <f aca="true" t="shared" si="9" ref="F31:L31">F32</f>
        <v>1000</v>
      </c>
      <c r="G31" s="23">
        <f t="shared" si="9"/>
        <v>0</v>
      </c>
      <c r="H31" s="23">
        <f t="shared" si="9"/>
        <v>0</v>
      </c>
      <c r="I31" s="23">
        <f t="shared" si="9"/>
        <v>0</v>
      </c>
      <c r="J31" s="23">
        <f t="shared" si="9"/>
        <v>0</v>
      </c>
      <c r="K31" s="23">
        <f t="shared" si="9"/>
        <v>0</v>
      </c>
      <c r="L31" s="23">
        <f t="shared" si="9"/>
        <v>0</v>
      </c>
      <c r="M31" s="26" t="s">
        <v>168</v>
      </c>
      <c r="N31" s="43" t="s">
        <v>168</v>
      </c>
      <c r="O31" s="43" t="s">
        <v>168</v>
      </c>
    </row>
    <row r="32" spans="1:15" ht="47.25" customHeight="1">
      <c r="A32" s="33" t="s">
        <v>140</v>
      </c>
      <c r="B32" s="22" t="s">
        <v>142</v>
      </c>
      <c r="C32" s="23"/>
      <c r="D32" s="23"/>
      <c r="E32" s="26" t="s">
        <v>168</v>
      </c>
      <c r="F32" s="23">
        <v>1000</v>
      </c>
      <c r="G32" s="23"/>
      <c r="H32" s="23"/>
      <c r="I32" s="23"/>
      <c r="J32" s="23"/>
      <c r="K32" s="23"/>
      <c r="L32" s="23"/>
      <c r="M32" s="26" t="s">
        <v>168</v>
      </c>
      <c r="N32" s="43" t="s">
        <v>168</v>
      </c>
      <c r="O32" s="43" t="s">
        <v>168</v>
      </c>
    </row>
    <row r="33" spans="1:15" ht="65.25" customHeight="1">
      <c r="A33" s="15" t="s">
        <v>71</v>
      </c>
      <c r="B33" s="30" t="s">
        <v>72</v>
      </c>
      <c r="C33" s="23"/>
      <c r="D33" s="19"/>
      <c r="E33" s="23">
        <f>E34+E37</f>
        <v>1143297.74</v>
      </c>
      <c r="F33" s="23">
        <f>F34+F38</f>
        <v>4092000</v>
      </c>
      <c r="G33" s="23" t="e">
        <f>G34+G38+#REF!</f>
        <v>#REF!</v>
      </c>
      <c r="H33" s="23" t="e">
        <f>H34+H38+#REF!</f>
        <v>#REF!</v>
      </c>
      <c r="I33" s="23" t="e">
        <f>I34+I38+#REF!</f>
        <v>#REF!</v>
      </c>
      <c r="J33" s="23" t="e">
        <f>J34+J38+#REF!</f>
        <v>#REF!</v>
      </c>
      <c r="K33" s="23" t="e">
        <f>K34+K38+#REF!</f>
        <v>#REF!</v>
      </c>
      <c r="L33" s="23" t="e">
        <f>L34+L38+#REF!</f>
        <v>#REF!</v>
      </c>
      <c r="M33" s="23">
        <f>M34+M38</f>
        <v>1709146.83</v>
      </c>
      <c r="N33" s="24">
        <f aca="true" t="shared" si="10" ref="N33:N40">M33/F33*100</f>
        <v>41.76800659824047</v>
      </c>
      <c r="O33" s="24">
        <f t="shared" si="1"/>
        <v>149.49271481985087</v>
      </c>
    </row>
    <row r="34" spans="1:15" ht="50.25" customHeight="1">
      <c r="A34" s="33" t="s">
        <v>108</v>
      </c>
      <c r="B34" s="22" t="s">
        <v>109</v>
      </c>
      <c r="C34" s="23">
        <v>116080000</v>
      </c>
      <c r="D34" s="19">
        <f>F34-C34</f>
        <v>-112260000</v>
      </c>
      <c r="E34" s="23">
        <f aca="true" t="shared" si="11" ref="E34:M34">E35+E36</f>
        <v>1016668.63</v>
      </c>
      <c r="F34" s="23">
        <f t="shared" si="11"/>
        <v>3820000</v>
      </c>
      <c r="G34" s="23">
        <f t="shared" si="11"/>
        <v>0</v>
      </c>
      <c r="H34" s="23">
        <f t="shared" si="11"/>
        <v>0</v>
      </c>
      <c r="I34" s="23">
        <f t="shared" si="11"/>
        <v>0</v>
      </c>
      <c r="J34" s="23">
        <f t="shared" si="11"/>
        <v>0</v>
      </c>
      <c r="K34" s="23">
        <f t="shared" si="11"/>
        <v>0</v>
      </c>
      <c r="L34" s="23">
        <f t="shared" si="11"/>
        <v>0</v>
      </c>
      <c r="M34" s="23">
        <f t="shared" si="11"/>
        <v>1601182.02</v>
      </c>
      <c r="N34" s="24">
        <f t="shared" si="10"/>
        <v>41.915759685863875</v>
      </c>
      <c r="O34" s="24">
        <f t="shared" si="1"/>
        <v>157.49300930038532</v>
      </c>
    </row>
    <row r="35" spans="1:15" ht="66" customHeight="1">
      <c r="A35" s="15" t="s">
        <v>110</v>
      </c>
      <c r="B35" s="22" t="s">
        <v>111</v>
      </c>
      <c r="C35" s="23"/>
      <c r="D35" s="19"/>
      <c r="E35" s="23">
        <v>895896.03</v>
      </c>
      <c r="F35" s="23">
        <v>3391000</v>
      </c>
      <c r="G35" s="25"/>
      <c r="H35" s="20"/>
      <c r="I35" s="25"/>
      <c r="J35" s="25"/>
      <c r="K35" s="25"/>
      <c r="L35" s="25"/>
      <c r="M35" s="23">
        <v>1456916.22</v>
      </c>
      <c r="N35" s="24">
        <f t="shared" si="10"/>
        <v>42.96420583898555</v>
      </c>
      <c r="O35" s="24">
        <f t="shared" si="1"/>
        <v>162.62112691804202</v>
      </c>
    </row>
    <row r="36" spans="1:15" ht="67.5" customHeight="1">
      <c r="A36" s="33" t="s">
        <v>112</v>
      </c>
      <c r="B36" s="22" t="s">
        <v>113</v>
      </c>
      <c r="C36" s="23">
        <v>2686000</v>
      </c>
      <c r="D36" s="19">
        <f>F36-C36</f>
        <v>-2257000</v>
      </c>
      <c r="E36" s="23">
        <v>120772.6</v>
      </c>
      <c r="F36" s="23">
        <v>429000</v>
      </c>
      <c r="G36" s="25"/>
      <c r="H36" s="20"/>
      <c r="I36" s="25"/>
      <c r="J36" s="25"/>
      <c r="K36" s="25"/>
      <c r="L36" s="25"/>
      <c r="M36" s="23">
        <v>144265.8</v>
      </c>
      <c r="N36" s="24">
        <f t="shared" si="10"/>
        <v>33.6283916083916</v>
      </c>
      <c r="O36" s="24">
        <f t="shared" si="1"/>
        <v>119.45242546736591</v>
      </c>
    </row>
    <row r="37" spans="1:15" ht="65.25" customHeight="1">
      <c r="A37" s="15" t="s">
        <v>16</v>
      </c>
      <c r="B37" s="30" t="s">
        <v>17</v>
      </c>
      <c r="C37" s="23"/>
      <c r="D37" s="19"/>
      <c r="E37" s="23">
        <f aca="true" t="shared" si="12" ref="E37:M37">E38</f>
        <v>126629.11</v>
      </c>
      <c r="F37" s="23">
        <f t="shared" si="12"/>
        <v>272000</v>
      </c>
      <c r="G37" s="23">
        <f t="shared" si="12"/>
        <v>0</v>
      </c>
      <c r="H37" s="23">
        <f t="shared" si="12"/>
        <v>0</v>
      </c>
      <c r="I37" s="23">
        <f t="shared" si="12"/>
        <v>0</v>
      </c>
      <c r="J37" s="23">
        <f t="shared" si="12"/>
        <v>0</v>
      </c>
      <c r="K37" s="23">
        <f t="shared" si="12"/>
        <v>0</v>
      </c>
      <c r="L37" s="23">
        <f t="shared" si="12"/>
        <v>0</v>
      </c>
      <c r="M37" s="23">
        <f t="shared" si="12"/>
        <v>107964.81</v>
      </c>
      <c r="N37" s="24">
        <f t="shared" si="10"/>
        <v>39.692944852941174</v>
      </c>
      <c r="O37" s="24">
        <f t="shared" si="1"/>
        <v>85.26065610032322</v>
      </c>
    </row>
    <row r="38" spans="1:15" ht="45">
      <c r="A38" s="33" t="s">
        <v>114</v>
      </c>
      <c r="B38" s="30" t="s">
        <v>115</v>
      </c>
      <c r="C38" s="23">
        <v>2663000</v>
      </c>
      <c r="D38" s="19">
        <f>F38-C38</f>
        <v>-2391000</v>
      </c>
      <c r="E38" s="23">
        <v>126629.11</v>
      </c>
      <c r="F38" s="23">
        <v>272000</v>
      </c>
      <c r="G38" s="25"/>
      <c r="H38" s="20"/>
      <c r="I38" s="25"/>
      <c r="J38" s="25"/>
      <c r="K38" s="25"/>
      <c r="L38" s="25"/>
      <c r="M38" s="23">
        <v>107964.81</v>
      </c>
      <c r="N38" s="24">
        <f t="shared" si="10"/>
        <v>39.692944852941174</v>
      </c>
      <c r="O38" s="24">
        <f t="shared" si="1"/>
        <v>85.26065610032322</v>
      </c>
    </row>
    <row r="39" spans="1:15" ht="18.75">
      <c r="A39" s="40" t="s">
        <v>152</v>
      </c>
      <c r="B39" s="41" t="s">
        <v>153</v>
      </c>
      <c r="C39" s="23"/>
      <c r="D39" s="19"/>
      <c r="E39" s="23">
        <f>E40</f>
        <v>4264</v>
      </c>
      <c r="F39" s="23">
        <f>F40</f>
        <v>4000</v>
      </c>
      <c r="G39" s="25"/>
      <c r="H39" s="20"/>
      <c r="I39" s="25"/>
      <c r="J39" s="25"/>
      <c r="K39" s="25"/>
      <c r="L39" s="25"/>
      <c r="M39" s="23">
        <f>M40</f>
        <v>28177</v>
      </c>
      <c r="N39" s="24">
        <f t="shared" si="10"/>
        <v>704.425</v>
      </c>
      <c r="O39" s="24">
        <f t="shared" si="1"/>
        <v>660.8114446529081</v>
      </c>
    </row>
    <row r="40" spans="1:15" ht="36.75" customHeight="1">
      <c r="A40" s="40" t="s">
        <v>149</v>
      </c>
      <c r="B40" s="39" t="s">
        <v>150</v>
      </c>
      <c r="C40" s="23"/>
      <c r="D40" s="19"/>
      <c r="E40" s="23">
        <v>4264</v>
      </c>
      <c r="F40" s="23">
        <v>4000</v>
      </c>
      <c r="G40" s="25"/>
      <c r="H40" s="20"/>
      <c r="I40" s="25"/>
      <c r="J40" s="25"/>
      <c r="K40" s="25"/>
      <c r="L40" s="25"/>
      <c r="M40" s="23">
        <v>28177</v>
      </c>
      <c r="N40" s="24">
        <f t="shared" si="10"/>
        <v>704.425</v>
      </c>
      <c r="O40" s="24">
        <f t="shared" si="1"/>
        <v>660.8114446529081</v>
      </c>
    </row>
    <row r="41" spans="1:15" ht="20.25" customHeight="1">
      <c r="A41" s="32" t="s">
        <v>18</v>
      </c>
      <c r="B41" s="18" t="s">
        <v>19</v>
      </c>
      <c r="C41" s="19" t="e">
        <f>C42+#REF!+#REF!+#REF!+#REF!</f>
        <v>#REF!</v>
      </c>
      <c r="D41" s="19" t="e">
        <f>F41-C41</f>
        <v>#REF!</v>
      </c>
      <c r="E41" s="19">
        <f aca="true" t="shared" si="13" ref="E41:L41">E42</f>
        <v>57652.299999999996</v>
      </c>
      <c r="F41" s="19">
        <f t="shared" si="13"/>
        <v>114000</v>
      </c>
      <c r="G41" s="19">
        <f t="shared" si="13"/>
        <v>0</v>
      </c>
      <c r="H41" s="19">
        <f t="shared" si="13"/>
        <v>0</v>
      </c>
      <c r="I41" s="19">
        <f t="shared" si="13"/>
        <v>0</v>
      </c>
      <c r="J41" s="19">
        <f t="shared" si="13"/>
        <v>0</v>
      </c>
      <c r="K41" s="19">
        <f t="shared" si="13"/>
        <v>0</v>
      </c>
      <c r="L41" s="19">
        <f t="shared" si="13"/>
        <v>0</v>
      </c>
      <c r="M41" s="19">
        <f>M42</f>
        <v>34139.77</v>
      </c>
      <c r="N41" s="21">
        <f aca="true" t="shared" si="14" ref="N41:N50">M41/F41*100</f>
        <v>29.947166666666664</v>
      </c>
      <c r="O41" s="21">
        <f aca="true" t="shared" si="15" ref="O41:O54">M41/E41*100</f>
        <v>59.216666117396876</v>
      </c>
    </row>
    <row r="42" spans="1:15" ht="18.75">
      <c r="A42" s="33" t="s">
        <v>20</v>
      </c>
      <c r="B42" s="22" t="s">
        <v>21</v>
      </c>
      <c r="C42" s="23">
        <v>43890000</v>
      </c>
      <c r="D42" s="19">
        <f>F42-C42</f>
        <v>-43776000</v>
      </c>
      <c r="E42" s="23">
        <f aca="true" t="shared" si="16" ref="E42:L42">E43+E44+E45+E46</f>
        <v>57652.299999999996</v>
      </c>
      <c r="F42" s="23">
        <f>F43+F44+F45+F46</f>
        <v>114000</v>
      </c>
      <c r="G42" s="23">
        <f t="shared" si="16"/>
        <v>0</v>
      </c>
      <c r="H42" s="23">
        <f t="shared" si="16"/>
        <v>0</v>
      </c>
      <c r="I42" s="23">
        <f t="shared" si="16"/>
        <v>0</v>
      </c>
      <c r="J42" s="23">
        <f t="shared" si="16"/>
        <v>0</v>
      </c>
      <c r="K42" s="23">
        <f t="shared" si="16"/>
        <v>0</v>
      </c>
      <c r="L42" s="23">
        <f t="shared" si="16"/>
        <v>0</v>
      </c>
      <c r="M42" s="23">
        <f>M43+M44+M45+M46</f>
        <v>34139.77</v>
      </c>
      <c r="N42" s="24">
        <f t="shared" si="14"/>
        <v>29.947166666666664</v>
      </c>
      <c r="O42" s="24">
        <f t="shared" si="15"/>
        <v>59.216666117396876</v>
      </c>
    </row>
    <row r="43" spans="1:15" ht="18" customHeight="1">
      <c r="A43" s="15" t="s">
        <v>73</v>
      </c>
      <c r="B43" s="30" t="s">
        <v>74</v>
      </c>
      <c r="C43" s="23"/>
      <c r="D43" s="19"/>
      <c r="E43" s="23">
        <v>7926.96</v>
      </c>
      <c r="F43" s="23">
        <v>10000</v>
      </c>
      <c r="G43" s="25"/>
      <c r="H43" s="20"/>
      <c r="I43" s="25"/>
      <c r="J43" s="25"/>
      <c r="K43" s="25"/>
      <c r="L43" s="25"/>
      <c r="M43" s="23">
        <v>1422.71</v>
      </c>
      <c r="N43" s="24">
        <f t="shared" si="14"/>
        <v>14.2271</v>
      </c>
      <c r="O43" s="24">
        <f t="shared" si="15"/>
        <v>17.9477378465389</v>
      </c>
    </row>
    <row r="44" spans="1:15" ht="15.75" customHeight="1">
      <c r="A44" s="15" t="s">
        <v>75</v>
      </c>
      <c r="B44" s="30" t="s">
        <v>76</v>
      </c>
      <c r="C44" s="23"/>
      <c r="D44" s="19"/>
      <c r="E44" s="23">
        <v>93.4</v>
      </c>
      <c r="F44" s="26" t="s">
        <v>167</v>
      </c>
      <c r="G44" s="25"/>
      <c r="H44" s="20"/>
      <c r="I44" s="25"/>
      <c r="J44" s="25"/>
      <c r="K44" s="25"/>
      <c r="L44" s="25"/>
      <c r="M44" s="23">
        <v>316.52</v>
      </c>
      <c r="N44" s="24">
        <f t="shared" si="14"/>
        <v>31.651999999999997</v>
      </c>
      <c r="O44" s="24">
        <f t="shared" si="15"/>
        <v>338.8865096359742</v>
      </c>
    </row>
    <row r="45" spans="1:15" ht="15" customHeight="1">
      <c r="A45" s="15" t="s">
        <v>77</v>
      </c>
      <c r="B45" s="30" t="s">
        <v>78</v>
      </c>
      <c r="C45" s="23"/>
      <c r="D45" s="19"/>
      <c r="E45" s="23">
        <v>442.92</v>
      </c>
      <c r="F45" s="23">
        <v>2000</v>
      </c>
      <c r="G45" s="25"/>
      <c r="H45" s="20"/>
      <c r="I45" s="25"/>
      <c r="J45" s="25"/>
      <c r="K45" s="25"/>
      <c r="L45" s="25"/>
      <c r="M45" s="23">
        <v>2168.29</v>
      </c>
      <c r="N45" s="24">
        <f t="shared" si="14"/>
        <v>108.41449999999999</v>
      </c>
      <c r="O45" s="24">
        <f t="shared" si="15"/>
        <v>489.5443872482615</v>
      </c>
    </row>
    <row r="46" spans="1:15" ht="18.75">
      <c r="A46" s="15" t="s">
        <v>79</v>
      </c>
      <c r="B46" s="30" t="s">
        <v>80</v>
      </c>
      <c r="C46" s="23"/>
      <c r="D46" s="19"/>
      <c r="E46" s="23">
        <v>49189.02</v>
      </c>
      <c r="F46" s="23">
        <v>101000</v>
      </c>
      <c r="G46" s="25"/>
      <c r="H46" s="20"/>
      <c r="I46" s="25"/>
      <c r="J46" s="25"/>
      <c r="K46" s="25"/>
      <c r="L46" s="25"/>
      <c r="M46" s="23">
        <v>30232.25</v>
      </c>
      <c r="N46" s="24">
        <f t="shared" si="14"/>
        <v>29.93292079207921</v>
      </c>
      <c r="O46" s="24">
        <f t="shared" si="15"/>
        <v>61.4613789825453</v>
      </c>
    </row>
    <row r="47" spans="1:15" ht="28.5">
      <c r="A47" s="32" t="s">
        <v>22</v>
      </c>
      <c r="B47" s="18" t="s">
        <v>23</v>
      </c>
      <c r="C47" s="19" t="e">
        <f>#REF!+#REF!+C48</f>
        <v>#REF!</v>
      </c>
      <c r="D47" s="19" t="e">
        <f>F47-C47</f>
        <v>#REF!</v>
      </c>
      <c r="E47" s="19">
        <f aca="true" t="shared" si="17" ref="E47:M47">E48</f>
        <v>278281.3</v>
      </c>
      <c r="F47" s="19">
        <f t="shared" si="17"/>
        <v>361000</v>
      </c>
      <c r="G47" s="19">
        <f t="shared" si="17"/>
        <v>9440000</v>
      </c>
      <c r="H47" s="19">
        <f t="shared" si="17"/>
        <v>0</v>
      </c>
      <c r="I47" s="19">
        <f t="shared" si="17"/>
        <v>9440000</v>
      </c>
      <c r="J47" s="19">
        <f t="shared" si="17"/>
        <v>10544000</v>
      </c>
      <c r="K47" s="19">
        <f t="shared" si="17"/>
        <v>0</v>
      </c>
      <c r="L47" s="19">
        <f t="shared" si="17"/>
        <v>10544000</v>
      </c>
      <c r="M47" s="19">
        <f t="shared" si="17"/>
        <v>227538.36</v>
      </c>
      <c r="N47" s="21">
        <f t="shared" si="14"/>
        <v>63.03001662049861</v>
      </c>
      <c r="O47" s="21">
        <f t="shared" si="15"/>
        <v>81.76559474172358</v>
      </c>
    </row>
    <row r="48" spans="1:15" ht="18.75">
      <c r="A48" s="33" t="s">
        <v>24</v>
      </c>
      <c r="B48" s="22" t="s">
        <v>51</v>
      </c>
      <c r="C48" s="23">
        <v>9386000</v>
      </c>
      <c r="D48" s="19">
        <f>F48-C48</f>
        <v>-9025000</v>
      </c>
      <c r="E48" s="23">
        <f>E49</f>
        <v>278281.3</v>
      </c>
      <c r="F48" s="23">
        <f>F49</f>
        <v>361000</v>
      </c>
      <c r="G48" s="25">
        <v>9440000</v>
      </c>
      <c r="H48" s="20">
        <f>I48-G48</f>
        <v>0</v>
      </c>
      <c r="I48" s="25">
        <v>9440000</v>
      </c>
      <c r="J48" s="25">
        <v>10544000</v>
      </c>
      <c r="K48" s="25">
        <f>L48-J48</f>
        <v>0</v>
      </c>
      <c r="L48" s="25">
        <v>10544000</v>
      </c>
      <c r="M48" s="23">
        <f>M49</f>
        <v>227538.36</v>
      </c>
      <c r="N48" s="24">
        <f t="shared" si="14"/>
        <v>63.03001662049861</v>
      </c>
      <c r="O48" s="24">
        <f t="shared" si="15"/>
        <v>81.76559474172358</v>
      </c>
    </row>
    <row r="49" spans="1:15" ht="18.75">
      <c r="A49" s="15" t="s">
        <v>81</v>
      </c>
      <c r="B49" s="30" t="s">
        <v>82</v>
      </c>
      <c r="C49" s="23"/>
      <c r="D49" s="19"/>
      <c r="E49" s="23">
        <f>E50</f>
        <v>278281.3</v>
      </c>
      <c r="F49" s="23">
        <f>F50</f>
        <v>361000</v>
      </c>
      <c r="G49" s="25"/>
      <c r="H49" s="20"/>
      <c r="I49" s="25"/>
      <c r="J49" s="25"/>
      <c r="K49" s="25"/>
      <c r="L49" s="25"/>
      <c r="M49" s="23">
        <f>M50</f>
        <v>227538.36</v>
      </c>
      <c r="N49" s="24">
        <f t="shared" si="14"/>
        <v>63.03001662049861</v>
      </c>
      <c r="O49" s="24">
        <f t="shared" si="15"/>
        <v>81.76559474172358</v>
      </c>
    </row>
    <row r="50" spans="1:15" ht="17.25" customHeight="1">
      <c r="A50" s="15" t="s">
        <v>116</v>
      </c>
      <c r="B50" s="30" t="s">
        <v>117</v>
      </c>
      <c r="C50" s="23"/>
      <c r="D50" s="19"/>
      <c r="E50" s="23">
        <v>278281.3</v>
      </c>
      <c r="F50" s="23">
        <v>361000</v>
      </c>
      <c r="G50" s="25"/>
      <c r="H50" s="20"/>
      <c r="I50" s="25"/>
      <c r="J50" s="25"/>
      <c r="K50" s="25"/>
      <c r="L50" s="25"/>
      <c r="M50" s="23">
        <v>227538.36</v>
      </c>
      <c r="N50" s="24">
        <f t="shared" si="14"/>
        <v>63.03001662049861</v>
      </c>
      <c r="O50" s="24">
        <f t="shared" si="15"/>
        <v>81.76559474172358</v>
      </c>
    </row>
    <row r="51" spans="1:15" ht="28.5">
      <c r="A51" s="32" t="s">
        <v>25</v>
      </c>
      <c r="B51" s="18" t="s">
        <v>26</v>
      </c>
      <c r="C51" s="19" t="e">
        <f>C53+#REF!+C55</f>
        <v>#REF!</v>
      </c>
      <c r="D51" s="19" t="e">
        <f>F51-C51</f>
        <v>#REF!</v>
      </c>
      <c r="E51" s="19">
        <f>E52+E55</f>
        <v>6792.08</v>
      </c>
      <c r="F51" s="19">
        <f aca="true" t="shared" si="18" ref="F51:M51">F52+F55</f>
        <v>72000</v>
      </c>
      <c r="G51" s="19" t="e">
        <f t="shared" si="18"/>
        <v>#REF!</v>
      </c>
      <c r="H51" s="19" t="e">
        <f t="shared" si="18"/>
        <v>#REF!</v>
      </c>
      <c r="I51" s="19" t="e">
        <f t="shared" si="18"/>
        <v>#REF!</v>
      </c>
      <c r="J51" s="19" t="e">
        <f t="shared" si="18"/>
        <v>#REF!</v>
      </c>
      <c r="K51" s="19" t="e">
        <f t="shared" si="18"/>
        <v>#REF!</v>
      </c>
      <c r="L51" s="19" t="e">
        <f t="shared" si="18"/>
        <v>#REF!</v>
      </c>
      <c r="M51" s="19">
        <f t="shared" si="18"/>
        <v>762838.8099999999</v>
      </c>
      <c r="N51" s="19">
        <f>N52+N55</f>
        <v>1057.065736111111</v>
      </c>
      <c r="O51" s="21">
        <f t="shared" si="15"/>
        <v>11231.298954075923</v>
      </c>
    </row>
    <row r="52" spans="1:15" ht="44.25" customHeight="1">
      <c r="A52" s="15" t="s">
        <v>83</v>
      </c>
      <c r="B52" s="30" t="s">
        <v>84</v>
      </c>
      <c r="C52" s="19"/>
      <c r="D52" s="19"/>
      <c r="E52" s="23">
        <f>E53</f>
        <v>6296.68</v>
      </c>
      <c r="F52" s="26" t="s">
        <v>168</v>
      </c>
      <c r="G52" s="23" t="e">
        <f>G53+#REF!</f>
        <v>#REF!</v>
      </c>
      <c r="H52" s="23" t="e">
        <f>H53+#REF!</f>
        <v>#REF!</v>
      </c>
      <c r="I52" s="23" t="e">
        <f>I53+#REF!</f>
        <v>#REF!</v>
      </c>
      <c r="J52" s="23" t="e">
        <f>J53+#REF!</f>
        <v>#REF!</v>
      </c>
      <c r="K52" s="23" t="e">
        <f>K53+#REF!</f>
        <v>#REF!</v>
      </c>
      <c r="L52" s="23" t="e">
        <f>L53+#REF!</f>
        <v>#REF!</v>
      </c>
      <c r="M52" s="23">
        <f>M53</f>
        <v>1751.48</v>
      </c>
      <c r="N52" s="43" t="s">
        <v>168</v>
      </c>
      <c r="O52" s="24">
        <f t="shared" si="15"/>
        <v>27.815928394010815</v>
      </c>
    </row>
    <row r="53" spans="1:15" ht="63.75" customHeight="1">
      <c r="A53" s="33" t="s">
        <v>118</v>
      </c>
      <c r="B53" s="22" t="s">
        <v>151</v>
      </c>
      <c r="C53" s="23">
        <v>3175000</v>
      </c>
      <c r="D53" s="19">
        <f>F53-C53</f>
        <v>-3175000</v>
      </c>
      <c r="E53" s="23">
        <f>E54</f>
        <v>6296.68</v>
      </c>
      <c r="F53" s="26" t="s">
        <v>168</v>
      </c>
      <c r="G53" s="23" t="e">
        <f>G54+#REF!</f>
        <v>#REF!</v>
      </c>
      <c r="H53" s="23" t="e">
        <f>H54+#REF!</f>
        <v>#REF!</v>
      </c>
      <c r="I53" s="23" t="e">
        <f>I54+#REF!</f>
        <v>#REF!</v>
      </c>
      <c r="J53" s="23" t="e">
        <f>J54+#REF!</f>
        <v>#REF!</v>
      </c>
      <c r="K53" s="23" t="e">
        <f>K54+#REF!</f>
        <v>#REF!</v>
      </c>
      <c r="L53" s="23" t="e">
        <f>L54+#REF!</f>
        <v>#REF!</v>
      </c>
      <c r="M53" s="23">
        <f>M54</f>
        <v>1751.48</v>
      </c>
      <c r="N53" s="26" t="s">
        <v>168</v>
      </c>
      <c r="O53" s="24">
        <f t="shared" si="15"/>
        <v>27.815928394010815</v>
      </c>
    </row>
    <row r="54" spans="1:15" ht="61.5" customHeight="1">
      <c r="A54" s="36" t="s">
        <v>119</v>
      </c>
      <c r="B54" s="22" t="s">
        <v>120</v>
      </c>
      <c r="C54" s="23"/>
      <c r="D54" s="19"/>
      <c r="E54" s="23">
        <v>6296.68</v>
      </c>
      <c r="F54" s="26" t="s">
        <v>168</v>
      </c>
      <c r="G54" s="25"/>
      <c r="H54" s="20"/>
      <c r="I54" s="25"/>
      <c r="J54" s="25"/>
      <c r="K54" s="25"/>
      <c r="L54" s="25"/>
      <c r="M54" s="23">
        <v>1751.48</v>
      </c>
      <c r="N54" s="43" t="s">
        <v>168</v>
      </c>
      <c r="O54" s="24">
        <f t="shared" si="15"/>
        <v>27.815928394010815</v>
      </c>
    </row>
    <row r="55" spans="1:15" ht="30">
      <c r="A55" s="33" t="s">
        <v>27</v>
      </c>
      <c r="B55" s="22" t="s">
        <v>52</v>
      </c>
      <c r="C55" s="23">
        <v>9000000</v>
      </c>
      <c r="D55" s="19">
        <f>F55-C55</f>
        <v>-8928000</v>
      </c>
      <c r="E55" s="23">
        <f>E56</f>
        <v>495.4</v>
      </c>
      <c r="F55" s="23">
        <f>F57+F58</f>
        <v>72000</v>
      </c>
      <c r="G55" s="23" t="e">
        <f>G56+#REF!</f>
        <v>#REF!</v>
      </c>
      <c r="H55" s="23" t="e">
        <f>H56+#REF!</f>
        <v>#REF!</v>
      </c>
      <c r="I55" s="23" t="e">
        <f>I56+#REF!</f>
        <v>#REF!</v>
      </c>
      <c r="J55" s="23" t="e">
        <f>J56+#REF!</f>
        <v>#REF!</v>
      </c>
      <c r="K55" s="23" t="e">
        <f>K56+#REF!</f>
        <v>#REF!</v>
      </c>
      <c r="L55" s="23" t="e">
        <f>L56+#REF!</f>
        <v>#REF!</v>
      </c>
      <c r="M55" s="23">
        <f>M56</f>
        <v>761087.33</v>
      </c>
      <c r="N55" s="24">
        <f>M55/F55*100</f>
        <v>1057.065736111111</v>
      </c>
      <c r="O55" s="24">
        <f>M55/E55*100</f>
        <v>153630.87000403713</v>
      </c>
    </row>
    <row r="56" spans="1:15" ht="30">
      <c r="A56" s="15" t="s">
        <v>121</v>
      </c>
      <c r="B56" s="30" t="s">
        <v>122</v>
      </c>
      <c r="C56" s="23"/>
      <c r="D56" s="19"/>
      <c r="E56" s="23">
        <f>E57</f>
        <v>495.4</v>
      </c>
      <c r="F56" s="26" t="s">
        <v>168</v>
      </c>
      <c r="G56" s="23" t="e">
        <f>G57+#REF!</f>
        <v>#REF!</v>
      </c>
      <c r="H56" s="23" t="e">
        <f>H57+#REF!</f>
        <v>#REF!</v>
      </c>
      <c r="I56" s="23" t="e">
        <f>I57+#REF!</f>
        <v>#REF!</v>
      </c>
      <c r="J56" s="23" t="e">
        <f>J57+#REF!</f>
        <v>#REF!</v>
      </c>
      <c r="K56" s="23" t="e">
        <f>K57+#REF!</f>
        <v>#REF!</v>
      </c>
      <c r="L56" s="23" t="e">
        <f>L57+#REF!</f>
        <v>#REF!</v>
      </c>
      <c r="M56" s="23">
        <f>M57+M58</f>
        <v>761087.33</v>
      </c>
      <c r="N56" s="43" t="s">
        <v>168</v>
      </c>
      <c r="O56" s="24">
        <f>M56/E56*100</f>
        <v>153630.87000403713</v>
      </c>
    </row>
    <row r="57" spans="1:15" ht="30">
      <c r="A57" s="15" t="s">
        <v>123</v>
      </c>
      <c r="B57" s="30" t="s">
        <v>124</v>
      </c>
      <c r="C57" s="23"/>
      <c r="D57" s="19"/>
      <c r="E57" s="23">
        <v>495.4</v>
      </c>
      <c r="F57" s="26" t="s">
        <v>168</v>
      </c>
      <c r="G57" s="25"/>
      <c r="H57" s="20"/>
      <c r="I57" s="25"/>
      <c r="J57" s="25"/>
      <c r="K57" s="25"/>
      <c r="L57" s="25"/>
      <c r="M57" s="23">
        <v>18715.86</v>
      </c>
      <c r="N57" s="43" t="s">
        <v>168</v>
      </c>
      <c r="O57" s="24">
        <f>M57/E57*100</f>
        <v>3777.928946306016</v>
      </c>
    </row>
    <row r="58" spans="1:15" ht="30">
      <c r="A58" s="15" t="s">
        <v>125</v>
      </c>
      <c r="B58" s="30" t="s">
        <v>164</v>
      </c>
      <c r="C58" s="23"/>
      <c r="D58" s="19"/>
      <c r="E58" s="26" t="s">
        <v>168</v>
      </c>
      <c r="F58" s="23">
        <v>72000</v>
      </c>
      <c r="G58" s="25"/>
      <c r="H58" s="20"/>
      <c r="I58" s="25"/>
      <c r="J58" s="25"/>
      <c r="K58" s="25"/>
      <c r="L58" s="25"/>
      <c r="M58" s="23">
        <v>742371.47</v>
      </c>
      <c r="N58" s="43" t="s">
        <v>168</v>
      </c>
      <c r="O58" s="43" t="s">
        <v>168</v>
      </c>
    </row>
    <row r="59" spans="1:15" ht="18.75">
      <c r="A59" s="32" t="s">
        <v>28</v>
      </c>
      <c r="B59" s="18" t="s">
        <v>29</v>
      </c>
      <c r="C59" s="19" t="e">
        <f>#REF!+C60+#REF!+#REF!+#REF!+C66+#REF!+#REF!+#REF!+#REF!+C67</f>
        <v>#REF!</v>
      </c>
      <c r="D59" s="19" t="e">
        <f>F59-C59</f>
        <v>#REF!</v>
      </c>
      <c r="E59" s="19">
        <f>E60+E66+E67</f>
        <v>140073.5</v>
      </c>
      <c r="F59" s="19">
        <f>F60+F63+F66+F67</f>
        <v>222000</v>
      </c>
      <c r="G59" s="19" t="e">
        <f aca="true" t="shared" si="19" ref="G59:L59">SUM(G60:G67)</f>
        <v>#REF!</v>
      </c>
      <c r="H59" s="19" t="e">
        <f t="shared" si="19"/>
        <v>#REF!</v>
      </c>
      <c r="I59" s="19" t="e">
        <f t="shared" si="19"/>
        <v>#REF!</v>
      </c>
      <c r="J59" s="19" t="e">
        <f t="shared" si="19"/>
        <v>#REF!</v>
      </c>
      <c r="K59" s="19" t="e">
        <f t="shared" si="19"/>
        <v>#REF!</v>
      </c>
      <c r="L59" s="19" t="e">
        <f t="shared" si="19"/>
        <v>#REF!</v>
      </c>
      <c r="M59" s="19">
        <f>M60+M63+M64+M66+M67</f>
        <v>796239.6499999999</v>
      </c>
      <c r="N59" s="21">
        <f aca="true" t="shared" si="20" ref="N59:N68">M59/F59*100</f>
        <v>358.66650900900896</v>
      </c>
      <c r="O59" s="21">
        <f aca="true" t="shared" si="21" ref="O59:O68">M59/E59*100</f>
        <v>568.4441739515325</v>
      </c>
    </row>
    <row r="60" spans="1:15" ht="18.75" customHeight="1">
      <c r="A60" s="33" t="s">
        <v>30</v>
      </c>
      <c r="B60" s="22" t="s">
        <v>31</v>
      </c>
      <c r="C60" s="23">
        <v>7000</v>
      </c>
      <c r="D60" s="19">
        <f>F60-C60</f>
        <v>-5000</v>
      </c>
      <c r="E60" s="23">
        <f>E61+E62</f>
        <v>700.01</v>
      </c>
      <c r="F60" s="23">
        <f>F61+F62</f>
        <v>2000</v>
      </c>
      <c r="G60" s="25">
        <v>7000</v>
      </c>
      <c r="H60" s="20">
        <f>I60-G60</f>
        <v>0</v>
      </c>
      <c r="I60" s="25">
        <v>7000</v>
      </c>
      <c r="J60" s="25">
        <v>7000</v>
      </c>
      <c r="K60" s="25">
        <f>L60-J60</f>
        <v>0</v>
      </c>
      <c r="L60" s="25">
        <v>7000</v>
      </c>
      <c r="M60" s="23">
        <f>M61+M62</f>
        <v>2475</v>
      </c>
      <c r="N60" s="24">
        <f t="shared" si="20"/>
        <v>123.75</v>
      </c>
      <c r="O60" s="24">
        <f t="shared" si="21"/>
        <v>353.56637762317683</v>
      </c>
    </row>
    <row r="61" spans="1:15" ht="48" customHeight="1">
      <c r="A61" s="15" t="s">
        <v>157</v>
      </c>
      <c r="B61" s="42" t="s">
        <v>159</v>
      </c>
      <c r="C61" s="23"/>
      <c r="D61" s="19"/>
      <c r="E61" s="23">
        <v>300.01</v>
      </c>
      <c r="F61" s="23">
        <v>1000</v>
      </c>
      <c r="G61" s="25"/>
      <c r="H61" s="20"/>
      <c r="I61" s="25"/>
      <c r="J61" s="25"/>
      <c r="K61" s="25"/>
      <c r="L61" s="25"/>
      <c r="M61" s="23">
        <v>2225</v>
      </c>
      <c r="N61" s="24">
        <f t="shared" si="20"/>
        <v>222.5</v>
      </c>
      <c r="O61" s="43" t="s">
        <v>168</v>
      </c>
    </row>
    <row r="62" spans="1:15" ht="45">
      <c r="A62" s="15" t="s">
        <v>158</v>
      </c>
      <c r="B62" s="42" t="s">
        <v>160</v>
      </c>
      <c r="C62" s="23"/>
      <c r="D62" s="19"/>
      <c r="E62" s="23">
        <v>400</v>
      </c>
      <c r="F62" s="23">
        <v>1000</v>
      </c>
      <c r="G62" s="25"/>
      <c r="H62" s="20"/>
      <c r="I62" s="25"/>
      <c r="J62" s="25"/>
      <c r="K62" s="25"/>
      <c r="L62" s="25"/>
      <c r="M62" s="23">
        <v>250</v>
      </c>
      <c r="N62" s="24">
        <f t="shared" si="20"/>
        <v>25</v>
      </c>
      <c r="O62" s="43" t="s">
        <v>168</v>
      </c>
    </row>
    <row r="63" spans="1:15" ht="45">
      <c r="A63" s="15" t="s">
        <v>126</v>
      </c>
      <c r="B63" s="42" t="s">
        <v>127</v>
      </c>
      <c r="C63" s="23"/>
      <c r="D63" s="19"/>
      <c r="E63" s="26" t="s">
        <v>168</v>
      </c>
      <c r="F63" s="23">
        <v>5000</v>
      </c>
      <c r="G63" s="25"/>
      <c r="H63" s="20"/>
      <c r="I63" s="25"/>
      <c r="J63" s="25"/>
      <c r="K63" s="25"/>
      <c r="L63" s="25"/>
      <c r="M63" s="23">
        <v>10000</v>
      </c>
      <c r="N63" s="24">
        <f t="shared" si="20"/>
        <v>200</v>
      </c>
      <c r="O63" s="43" t="s">
        <v>168</v>
      </c>
    </row>
    <row r="64" spans="1:15" ht="75">
      <c r="A64" s="15" t="s">
        <v>89</v>
      </c>
      <c r="B64" s="27" t="s">
        <v>90</v>
      </c>
      <c r="C64" s="23"/>
      <c r="D64" s="19"/>
      <c r="E64" s="26" t="s">
        <v>168</v>
      </c>
      <c r="F64" s="26" t="s">
        <v>168</v>
      </c>
      <c r="G64" s="23" t="e">
        <f>#REF!</f>
        <v>#REF!</v>
      </c>
      <c r="H64" s="23" t="e">
        <f>#REF!</f>
        <v>#REF!</v>
      </c>
      <c r="I64" s="23" t="e">
        <f>#REF!</f>
        <v>#REF!</v>
      </c>
      <c r="J64" s="23" t="e">
        <f>#REF!</f>
        <v>#REF!</v>
      </c>
      <c r="K64" s="23" t="e">
        <f>#REF!</f>
        <v>#REF!</v>
      </c>
      <c r="L64" s="23" t="e">
        <f>#REF!</f>
        <v>#REF!</v>
      </c>
      <c r="M64" s="23">
        <f>M65</f>
        <v>43698.57</v>
      </c>
      <c r="N64" s="43" t="s">
        <v>168</v>
      </c>
      <c r="O64" s="43" t="s">
        <v>168</v>
      </c>
    </row>
    <row r="65" spans="1:15" ht="18.75">
      <c r="A65" s="15" t="s">
        <v>165</v>
      </c>
      <c r="B65" s="27" t="s">
        <v>166</v>
      </c>
      <c r="C65" s="23"/>
      <c r="D65" s="19"/>
      <c r="E65" s="26" t="s">
        <v>168</v>
      </c>
      <c r="F65" s="26" t="s">
        <v>168</v>
      </c>
      <c r="G65" s="23"/>
      <c r="H65" s="23"/>
      <c r="I65" s="23"/>
      <c r="J65" s="23"/>
      <c r="K65" s="23"/>
      <c r="L65" s="23"/>
      <c r="M65" s="23">
        <v>43698.57</v>
      </c>
      <c r="N65" s="43" t="s">
        <v>168</v>
      </c>
      <c r="O65" s="43" t="s">
        <v>168</v>
      </c>
    </row>
    <row r="66" spans="1:15" ht="45">
      <c r="A66" s="33" t="s">
        <v>128</v>
      </c>
      <c r="B66" s="22" t="s">
        <v>129</v>
      </c>
      <c r="C66" s="23">
        <v>9575000</v>
      </c>
      <c r="D66" s="19">
        <f>F66-C66</f>
        <v>-9505000</v>
      </c>
      <c r="E66" s="23">
        <v>64250</v>
      </c>
      <c r="F66" s="23">
        <v>70000</v>
      </c>
      <c r="G66" s="25">
        <v>9676000</v>
      </c>
      <c r="H66" s="20">
        <f>I66-G66</f>
        <v>0</v>
      </c>
      <c r="I66" s="25">
        <v>9676000</v>
      </c>
      <c r="J66" s="25">
        <v>9827000</v>
      </c>
      <c r="K66" s="25">
        <f>L66-J66</f>
        <v>0</v>
      </c>
      <c r="L66" s="25">
        <v>9827000</v>
      </c>
      <c r="M66" s="23">
        <v>74700</v>
      </c>
      <c r="N66" s="24">
        <f t="shared" si="20"/>
        <v>106.71428571428572</v>
      </c>
      <c r="O66" s="24">
        <f t="shared" si="21"/>
        <v>116.26459143968873</v>
      </c>
    </row>
    <row r="67" spans="1:15" ht="23.25" customHeight="1">
      <c r="A67" s="33" t="s">
        <v>32</v>
      </c>
      <c r="B67" s="22" t="s">
        <v>33</v>
      </c>
      <c r="C67" s="23">
        <v>8095000</v>
      </c>
      <c r="D67" s="19">
        <f>F67-C67</f>
        <v>-7950000</v>
      </c>
      <c r="E67" s="23">
        <f>E68</f>
        <v>75123.49</v>
      </c>
      <c r="F67" s="23">
        <f>F68</f>
        <v>145000</v>
      </c>
      <c r="G67" s="25">
        <v>8205000</v>
      </c>
      <c r="H67" s="20">
        <f>I67-G67</f>
        <v>0</v>
      </c>
      <c r="I67" s="25">
        <v>8205000</v>
      </c>
      <c r="J67" s="25">
        <v>8315000</v>
      </c>
      <c r="K67" s="25">
        <f>L67-J67</f>
        <v>0</v>
      </c>
      <c r="L67" s="25">
        <v>8315000</v>
      </c>
      <c r="M67" s="23">
        <f>M68</f>
        <v>665366.08</v>
      </c>
      <c r="N67" s="24">
        <f t="shared" si="20"/>
        <v>458.87315862068965</v>
      </c>
      <c r="O67" s="24">
        <f t="shared" si="21"/>
        <v>885.6964446140614</v>
      </c>
    </row>
    <row r="68" spans="1:15" ht="33" customHeight="1">
      <c r="A68" s="15" t="s">
        <v>130</v>
      </c>
      <c r="B68" s="30" t="s">
        <v>131</v>
      </c>
      <c r="C68" s="23"/>
      <c r="D68" s="19"/>
      <c r="E68" s="23">
        <v>75123.49</v>
      </c>
      <c r="F68" s="23">
        <v>145000</v>
      </c>
      <c r="G68" s="25"/>
      <c r="H68" s="20"/>
      <c r="I68" s="25"/>
      <c r="J68" s="25"/>
      <c r="K68" s="25"/>
      <c r="L68" s="25"/>
      <c r="M68" s="23">
        <v>665366.08</v>
      </c>
      <c r="N68" s="24">
        <f t="shared" si="20"/>
        <v>458.87315862068965</v>
      </c>
      <c r="O68" s="24">
        <f t="shared" si="21"/>
        <v>885.6964446140614</v>
      </c>
    </row>
    <row r="69" spans="1:15" ht="18.75">
      <c r="A69" s="37" t="s">
        <v>85</v>
      </c>
      <c r="B69" s="38" t="s">
        <v>86</v>
      </c>
      <c r="C69" s="23"/>
      <c r="D69" s="19"/>
      <c r="E69" s="46" t="s">
        <v>168</v>
      </c>
      <c r="F69" s="46" t="s">
        <v>168</v>
      </c>
      <c r="G69" s="19">
        <f aca="true" t="shared" si="22" ref="G69:M70">G70</f>
        <v>0</v>
      </c>
      <c r="H69" s="19">
        <f t="shared" si="22"/>
        <v>0</v>
      </c>
      <c r="I69" s="19">
        <f t="shared" si="22"/>
        <v>0</v>
      </c>
      <c r="J69" s="19">
        <f t="shared" si="22"/>
        <v>0</v>
      </c>
      <c r="K69" s="19">
        <f t="shared" si="22"/>
        <v>0</v>
      </c>
      <c r="L69" s="19">
        <f t="shared" si="22"/>
        <v>0</v>
      </c>
      <c r="M69" s="19">
        <f t="shared" si="22"/>
        <v>25</v>
      </c>
      <c r="N69" s="43" t="s">
        <v>168</v>
      </c>
      <c r="O69" s="43" t="s">
        <v>168</v>
      </c>
    </row>
    <row r="70" spans="1:15" ht="18.75">
      <c r="A70" s="16" t="s">
        <v>161</v>
      </c>
      <c r="B70" s="35" t="s">
        <v>162</v>
      </c>
      <c r="C70" s="23"/>
      <c r="D70" s="19"/>
      <c r="E70" s="26" t="s">
        <v>168</v>
      </c>
      <c r="F70" s="26" t="s">
        <v>168</v>
      </c>
      <c r="G70" s="23">
        <f t="shared" si="22"/>
        <v>0</v>
      </c>
      <c r="H70" s="23">
        <f t="shared" si="22"/>
        <v>0</v>
      </c>
      <c r="I70" s="23">
        <f t="shared" si="22"/>
        <v>0</v>
      </c>
      <c r="J70" s="23">
        <f t="shared" si="22"/>
        <v>0</v>
      </c>
      <c r="K70" s="23">
        <f t="shared" si="22"/>
        <v>0</v>
      </c>
      <c r="L70" s="23">
        <f t="shared" si="22"/>
        <v>0</v>
      </c>
      <c r="M70" s="23">
        <f t="shared" si="22"/>
        <v>25</v>
      </c>
      <c r="N70" s="43" t="s">
        <v>168</v>
      </c>
      <c r="O70" s="43" t="s">
        <v>168</v>
      </c>
    </row>
    <row r="71" spans="1:15" ht="18.75">
      <c r="A71" s="16" t="s">
        <v>163</v>
      </c>
      <c r="B71" s="35" t="s">
        <v>162</v>
      </c>
      <c r="C71" s="23"/>
      <c r="D71" s="19"/>
      <c r="E71" s="26" t="s">
        <v>168</v>
      </c>
      <c r="F71" s="26" t="s">
        <v>168</v>
      </c>
      <c r="G71" s="25"/>
      <c r="H71" s="20"/>
      <c r="I71" s="25"/>
      <c r="J71" s="25"/>
      <c r="K71" s="25"/>
      <c r="L71" s="25"/>
      <c r="M71" s="23">
        <v>25</v>
      </c>
      <c r="N71" s="43" t="s">
        <v>168</v>
      </c>
      <c r="O71" s="43" t="s">
        <v>168</v>
      </c>
    </row>
    <row r="72" spans="1:16" ht="28.5">
      <c r="A72" s="54" t="s">
        <v>34</v>
      </c>
      <c r="B72" s="55" t="s">
        <v>35</v>
      </c>
      <c r="C72" s="47" t="e">
        <f>C73</f>
        <v>#REF!</v>
      </c>
      <c r="D72" s="47" t="e">
        <f>D73</f>
        <v>#REF!</v>
      </c>
      <c r="E72" s="47">
        <f>E73</f>
        <v>43337614.86000001</v>
      </c>
      <c r="F72" s="47">
        <f>F73</f>
        <v>100563081.35</v>
      </c>
      <c r="G72" s="47" t="e">
        <f aca="true" t="shared" si="23" ref="G72:L72">G73</f>
        <v>#REF!</v>
      </c>
      <c r="H72" s="47">
        <f t="shared" si="23"/>
        <v>15107779</v>
      </c>
      <c r="I72" s="47">
        <f t="shared" si="23"/>
        <v>21285479</v>
      </c>
      <c r="J72" s="47">
        <f t="shared" si="23"/>
        <v>26737407</v>
      </c>
      <c r="K72" s="47">
        <f t="shared" si="23"/>
        <v>6423579</v>
      </c>
      <c r="L72" s="47">
        <f t="shared" si="23"/>
        <v>26737407</v>
      </c>
      <c r="M72" s="47">
        <f>M73+M110</f>
        <v>52803510.769999996</v>
      </c>
      <c r="N72" s="21">
        <f>M72/F72*100</f>
        <v>52.50784886575077</v>
      </c>
      <c r="O72" s="21">
        <f aca="true" t="shared" si="24" ref="O72:O92">M72/E72*100</f>
        <v>121.84221706842679</v>
      </c>
      <c r="P72" s="1"/>
    </row>
    <row r="73" spans="1:16" ht="28.5">
      <c r="A73" s="54" t="s">
        <v>53</v>
      </c>
      <c r="B73" s="55" t="s">
        <v>169</v>
      </c>
      <c r="C73" s="48" t="e">
        <f>C74+C92+C103+C79</f>
        <v>#REF!</v>
      </c>
      <c r="D73" s="48" t="e">
        <f>D74+D92+D103+D79</f>
        <v>#REF!</v>
      </c>
      <c r="E73" s="48">
        <f>E74+E92+E103+E79</f>
        <v>43337614.86000001</v>
      </c>
      <c r="F73" s="48">
        <f>F74+F79+F92+F103</f>
        <v>100563081.35</v>
      </c>
      <c r="G73" s="48" t="e">
        <f>G74+G79+G92+G103</f>
        <v>#REF!</v>
      </c>
      <c r="H73" s="48">
        <f>H74+H79+H92+H103</f>
        <v>15107779</v>
      </c>
      <c r="I73" s="48">
        <f>I74+I79+I92+I103</f>
        <v>21285479</v>
      </c>
      <c r="J73" s="48">
        <f>J74+J79+J92+J103</f>
        <v>26737407</v>
      </c>
      <c r="K73" s="48">
        <f>K74+K79+K92+K103</f>
        <v>6423579</v>
      </c>
      <c r="L73" s="48">
        <f>L74+L79+L92+L103</f>
        <v>26737407</v>
      </c>
      <c r="M73" s="48">
        <f>M74+M79+M92+M103</f>
        <v>52983721.44</v>
      </c>
      <c r="N73" s="21">
        <f>M73/F73*100</f>
        <v>52.6870504848547</v>
      </c>
      <c r="O73" s="21">
        <f t="shared" si="24"/>
        <v>122.25804675952116</v>
      </c>
      <c r="P73" s="1"/>
    </row>
    <row r="74" spans="1:16" ht="28.5">
      <c r="A74" s="54" t="s">
        <v>170</v>
      </c>
      <c r="B74" s="55" t="s">
        <v>36</v>
      </c>
      <c r="C74" s="48">
        <f>C75+C77</f>
        <v>5600000</v>
      </c>
      <c r="D74" s="48">
        <f>D75+D77</f>
        <v>2800000</v>
      </c>
      <c r="E74" s="48">
        <f>E75+E77</f>
        <v>2800000</v>
      </c>
      <c r="F74" s="48">
        <f>F75+F77</f>
        <v>17192168.7</v>
      </c>
      <c r="G74" s="48">
        <f>G75+G77</f>
        <v>9775228</v>
      </c>
      <c r="H74" s="19">
        <f>H75+H77</f>
        <v>-6988228</v>
      </c>
      <c r="I74" s="19">
        <f>I75+I77</f>
        <v>0</v>
      </c>
      <c r="J74" s="19">
        <f>J75+J77</f>
        <v>0</v>
      </c>
      <c r="K74" s="19">
        <f>K75+K77</f>
        <v>0</v>
      </c>
      <c r="L74" s="19">
        <f>L75+L77</f>
        <v>0</v>
      </c>
      <c r="M74" s="48">
        <f>M75+M77</f>
        <v>9775228</v>
      </c>
      <c r="N74" s="21">
        <f>M74/F74*100</f>
        <v>56.85860911776651</v>
      </c>
      <c r="O74" s="21">
        <f t="shared" si="24"/>
        <v>349.11528571428573</v>
      </c>
      <c r="P74" s="1"/>
    </row>
    <row r="75" spans="1:16" ht="18.75">
      <c r="A75" s="56" t="s">
        <v>171</v>
      </c>
      <c r="B75" s="42" t="s">
        <v>172</v>
      </c>
      <c r="C75" s="49">
        <f>C76</f>
        <v>1954000</v>
      </c>
      <c r="D75" s="49">
        <v>977000</v>
      </c>
      <c r="E75" s="49">
        <v>977000</v>
      </c>
      <c r="F75" s="49">
        <f>F76</f>
        <v>5574000</v>
      </c>
      <c r="G75" s="49">
        <f>G76</f>
        <v>2787000</v>
      </c>
      <c r="H75" s="23">
        <f>H76</f>
        <v>0</v>
      </c>
      <c r="I75" s="23">
        <f>I76</f>
        <v>0</v>
      </c>
      <c r="J75" s="23">
        <f>J76</f>
        <v>0</v>
      </c>
      <c r="K75" s="23">
        <f>K76</f>
        <v>0</v>
      </c>
      <c r="L75" s="23">
        <f>L76</f>
        <v>0</v>
      </c>
      <c r="M75" s="49">
        <f>M76</f>
        <v>2787000</v>
      </c>
      <c r="N75" s="24">
        <f>M75/F75*100</f>
        <v>50</v>
      </c>
      <c r="O75" s="24">
        <f t="shared" si="24"/>
        <v>285.2610030706244</v>
      </c>
      <c r="P75" s="1"/>
    </row>
    <row r="76" spans="1:15" ht="30">
      <c r="A76" s="56" t="s">
        <v>173</v>
      </c>
      <c r="B76" s="42" t="s">
        <v>132</v>
      </c>
      <c r="C76" s="50">
        <v>1954000</v>
      </c>
      <c r="D76" s="50">
        <v>977000</v>
      </c>
      <c r="E76" s="50">
        <v>977000</v>
      </c>
      <c r="F76" s="50">
        <v>5574000</v>
      </c>
      <c r="G76" s="50">
        <v>2787000</v>
      </c>
      <c r="H76" s="20"/>
      <c r="I76" s="25"/>
      <c r="J76" s="25"/>
      <c r="K76" s="25"/>
      <c r="L76" s="25"/>
      <c r="M76" s="50">
        <v>2787000</v>
      </c>
      <c r="N76" s="24">
        <f>M76/F76*100</f>
        <v>50</v>
      </c>
      <c r="O76" s="24">
        <f t="shared" si="24"/>
        <v>285.2610030706244</v>
      </c>
    </row>
    <row r="77" spans="1:15" ht="18.75">
      <c r="A77" s="56" t="s">
        <v>174</v>
      </c>
      <c r="B77" s="42" t="s">
        <v>175</v>
      </c>
      <c r="C77" s="49">
        <f>C78</f>
        <v>3646000</v>
      </c>
      <c r="D77" s="49">
        <f>D78</f>
        <v>1823000</v>
      </c>
      <c r="E77" s="49">
        <f>E78</f>
        <v>1823000</v>
      </c>
      <c r="F77" s="49">
        <f>F78</f>
        <v>11618168.7</v>
      </c>
      <c r="G77" s="49">
        <f>G78</f>
        <v>6988228</v>
      </c>
      <c r="H77" s="23">
        <f>H78</f>
        <v>-6988228</v>
      </c>
      <c r="I77" s="23">
        <f>I78</f>
        <v>0</v>
      </c>
      <c r="J77" s="23">
        <f>J78</f>
        <v>0</v>
      </c>
      <c r="K77" s="23">
        <f>K78</f>
        <v>0</v>
      </c>
      <c r="L77" s="23">
        <f>L78</f>
        <v>0</v>
      </c>
      <c r="M77" s="49">
        <f>M78</f>
        <v>6988228</v>
      </c>
      <c r="N77" s="24">
        <f>M77/F77*100</f>
        <v>60.14913520751338</v>
      </c>
      <c r="O77" s="24">
        <f t="shared" si="24"/>
        <v>383.33669775095996</v>
      </c>
    </row>
    <row r="78" spans="1:15" ht="30">
      <c r="A78" s="56" t="s">
        <v>176</v>
      </c>
      <c r="B78" s="42" t="s">
        <v>133</v>
      </c>
      <c r="C78" s="50">
        <v>3646000</v>
      </c>
      <c r="D78" s="50">
        <v>1823000</v>
      </c>
      <c r="E78" s="50">
        <v>1823000</v>
      </c>
      <c r="F78" s="50">
        <v>11618168.7</v>
      </c>
      <c r="G78" s="50">
        <v>6988228</v>
      </c>
      <c r="H78" s="20">
        <f>I78-G78</f>
        <v>-6988228</v>
      </c>
      <c r="I78" s="25"/>
      <c r="J78" s="25"/>
      <c r="K78" s="25">
        <f>L78-J78</f>
        <v>0</v>
      </c>
      <c r="L78" s="25"/>
      <c r="M78" s="50">
        <v>6988228</v>
      </c>
      <c r="N78" s="24">
        <f>M78/F78*100</f>
        <v>60.14913520751338</v>
      </c>
      <c r="O78" s="24">
        <f t="shared" si="24"/>
        <v>383.33669775095996</v>
      </c>
    </row>
    <row r="79" spans="1:15" ht="28.5">
      <c r="A79" s="57" t="s">
        <v>177</v>
      </c>
      <c r="B79" s="58" t="s">
        <v>178</v>
      </c>
      <c r="C79" s="47">
        <f>C83+C91+C84</f>
        <v>3562180</v>
      </c>
      <c r="D79" s="47">
        <f>D83+D91+D84</f>
        <v>2514919.7</v>
      </c>
      <c r="E79" s="47">
        <f>E83+E91+E84</f>
        <v>2514919.7</v>
      </c>
      <c r="F79" s="47">
        <f>F80+F84+F86+F88+F90</f>
        <v>12781507</v>
      </c>
      <c r="G79" s="47">
        <f aca="true" t="shared" si="25" ref="G79:M79">G80+G84+G86+G88+G90</f>
        <v>3387180</v>
      </c>
      <c r="H79" s="47">
        <f t="shared" si="25"/>
        <v>11156507</v>
      </c>
      <c r="I79" s="47">
        <f t="shared" si="25"/>
        <v>6423579</v>
      </c>
      <c r="J79" s="47">
        <f t="shared" si="25"/>
        <v>11156507</v>
      </c>
      <c r="K79" s="47">
        <f t="shared" si="25"/>
        <v>6423579</v>
      </c>
      <c r="L79" s="47">
        <f t="shared" si="25"/>
        <v>11156507</v>
      </c>
      <c r="M79" s="47">
        <f t="shared" si="25"/>
        <v>4053530</v>
      </c>
      <c r="N79" s="21">
        <f>M79/F79*100</f>
        <v>31.7140224544727</v>
      </c>
      <c r="O79" s="21">
        <f>M79/E79*100</f>
        <v>161.17930127152766</v>
      </c>
    </row>
    <row r="80" spans="1:15" ht="18.75">
      <c r="A80" s="91" t="s">
        <v>225</v>
      </c>
      <c r="B80" s="92" t="s">
        <v>226</v>
      </c>
      <c r="C80" s="47"/>
      <c r="D80" s="47"/>
      <c r="E80" s="47"/>
      <c r="F80" s="50">
        <f>F81</f>
        <v>1469880</v>
      </c>
      <c r="G80" s="50">
        <f>G81</f>
        <v>1469880</v>
      </c>
      <c r="H80" s="50">
        <f>H81</f>
        <v>1469880</v>
      </c>
      <c r="I80" s="50">
        <f>I81</f>
        <v>1469880</v>
      </c>
      <c r="J80" s="50">
        <f>J81</f>
        <v>1469880</v>
      </c>
      <c r="K80" s="50">
        <f>K81</f>
        <v>1469880</v>
      </c>
      <c r="L80" s="50">
        <f>L81</f>
        <v>1469880</v>
      </c>
      <c r="M80" s="50">
        <f>M81</f>
        <v>1469880</v>
      </c>
      <c r="N80" s="21">
        <f aca="true" t="shared" si="26" ref="N80:N89">M80/F80*100</f>
        <v>100</v>
      </c>
      <c r="O80" s="21" t="e">
        <f aca="true" t="shared" si="27" ref="O80:O89">M80/E80*100</f>
        <v>#DIV/0!</v>
      </c>
    </row>
    <row r="81" spans="1:15" ht="18.75" customHeight="1">
      <c r="A81" s="91">
        <v>20220051050000100</v>
      </c>
      <c r="B81" s="93" t="s">
        <v>227</v>
      </c>
      <c r="C81" s="47"/>
      <c r="D81" s="47"/>
      <c r="E81" s="47"/>
      <c r="F81" s="50">
        <v>1469880</v>
      </c>
      <c r="G81" s="50">
        <v>1469880</v>
      </c>
      <c r="H81" s="50">
        <v>1469880</v>
      </c>
      <c r="I81" s="50">
        <v>1469880</v>
      </c>
      <c r="J81" s="50">
        <v>1469880</v>
      </c>
      <c r="K81" s="50">
        <v>1469880</v>
      </c>
      <c r="L81" s="50">
        <v>1469880</v>
      </c>
      <c r="M81" s="50">
        <v>1469880</v>
      </c>
      <c r="N81" s="21">
        <f t="shared" si="26"/>
        <v>100</v>
      </c>
      <c r="O81" s="21" t="e">
        <f t="shared" si="27"/>
        <v>#DIV/0!</v>
      </c>
    </row>
    <row r="82" spans="1:15" ht="21" customHeight="1">
      <c r="A82" s="59" t="s">
        <v>179</v>
      </c>
      <c r="B82" s="42" t="s">
        <v>180</v>
      </c>
      <c r="C82" s="47">
        <f>C83</f>
        <v>1386000</v>
      </c>
      <c r="D82" s="47">
        <f>D83</f>
        <v>1386000</v>
      </c>
      <c r="E82" s="50">
        <f>E83</f>
        <v>1386000</v>
      </c>
      <c r="F82" s="50"/>
      <c r="G82" s="50"/>
      <c r="H82" s="23"/>
      <c r="I82" s="23"/>
      <c r="J82" s="23"/>
      <c r="K82" s="23"/>
      <c r="L82" s="23"/>
      <c r="M82" s="50"/>
      <c r="N82" s="21" t="e">
        <f t="shared" si="26"/>
        <v>#DIV/0!</v>
      </c>
      <c r="O82" s="21">
        <f t="shared" si="27"/>
        <v>0</v>
      </c>
    </row>
    <row r="83" spans="1:15" ht="23.25" customHeight="1">
      <c r="A83" s="59" t="s">
        <v>181</v>
      </c>
      <c r="B83" s="42" t="s">
        <v>182</v>
      </c>
      <c r="C83" s="51">
        <v>1386000</v>
      </c>
      <c r="D83" s="51">
        <v>1386000</v>
      </c>
      <c r="E83" s="51">
        <v>1386000</v>
      </c>
      <c r="F83" s="50"/>
      <c r="G83" s="50"/>
      <c r="H83" s="23"/>
      <c r="I83" s="23"/>
      <c r="J83" s="23"/>
      <c r="K83" s="23"/>
      <c r="L83" s="23"/>
      <c r="M83" s="50"/>
      <c r="N83" s="21" t="e">
        <f t="shared" si="26"/>
        <v>#DIV/0!</v>
      </c>
      <c r="O83" s="21">
        <f t="shared" si="27"/>
        <v>0</v>
      </c>
    </row>
    <row r="84" spans="1:15" ht="28.5" customHeight="1">
      <c r="A84" s="60" t="s">
        <v>91</v>
      </c>
      <c r="B84" s="61" t="s">
        <v>223</v>
      </c>
      <c r="C84" s="51">
        <f>C85</f>
        <v>674330</v>
      </c>
      <c r="D84" s="51"/>
      <c r="E84" s="51"/>
      <c r="F84" s="50">
        <f>F85</f>
        <v>3995049</v>
      </c>
      <c r="G84" s="47"/>
      <c r="H84" s="23">
        <f>H85</f>
        <v>3995049</v>
      </c>
      <c r="I84" s="23">
        <f>I85</f>
        <v>3995049</v>
      </c>
      <c r="J84" s="23">
        <f>J85</f>
        <v>3995049</v>
      </c>
      <c r="K84" s="23">
        <f>K85</f>
        <v>3995049</v>
      </c>
      <c r="L84" s="23">
        <f>L85</f>
        <v>3995049</v>
      </c>
      <c r="M84" s="47"/>
      <c r="N84" s="21">
        <f t="shared" si="26"/>
        <v>0</v>
      </c>
      <c r="O84" s="21" t="e">
        <f t="shared" si="27"/>
        <v>#DIV/0!</v>
      </c>
    </row>
    <row r="85" spans="1:15" ht="28.5" customHeight="1">
      <c r="A85" s="61" t="s">
        <v>183</v>
      </c>
      <c r="B85" s="61" t="s">
        <v>224</v>
      </c>
      <c r="C85" s="51">
        <v>674330</v>
      </c>
      <c r="D85" s="51"/>
      <c r="E85" s="51"/>
      <c r="F85" s="50">
        <v>3995049</v>
      </c>
      <c r="G85" s="50">
        <v>3995049</v>
      </c>
      <c r="H85" s="50">
        <v>3995049</v>
      </c>
      <c r="I85" s="50">
        <v>3995049</v>
      </c>
      <c r="J85" s="50">
        <v>3995049</v>
      </c>
      <c r="K85" s="50">
        <v>3995049</v>
      </c>
      <c r="L85" s="50">
        <v>3995049</v>
      </c>
      <c r="M85" s="50"/>
      <c r="N85" s="21">
        <f t="shared" si="26"/>
        <v>0</v>
      </c>
      <c r="O85" s="21" t="e">
        <f t="shared" si="27"/>
        <v>#DIV/0!</v>
      </c>
    </row>
    <row r="86" spans="1:15" ht="28.5" customHeight="1">
      <c r="A86" s="59" t="s">
        <v>228</v>
      </c>
      <c r="B86" s="42" t="s">
        <v>229</v>
      </c>
      <c r="C86" s="50">
        <f>C87</f>
        <v>5691578</v>
      </c>
      <c r="D86" s="50">
        <f>D87</f>
        <v>958650</v>
      </c>
      <c r="E86" s="51"/>
      <c r="F86" s="50">
        <f>F87</f>
        <v>5691578</v>
      </c>
      <c r="G86" s="50">
        <f aca="true" t="shared" si="28" ref="G86:M86">G87</f>
        <v>958650</v>
      </c>
      <c r="H86" s="50">
        <f t="shared" si="28"/>
        <v>5691578</v>
      </c>
      <c r="I86" s="50">
        <f t="shared" si="28"/>
        <v>958650</v>
      </c>
      <c r="J86" s="50">
        <f t="shared" si="28"/>
        <v>5691578</v>
      </c>
      <c r="K86" s="50">
        <f t="shared" si="28"/>
        <v>958650</v>
      </c>
      <c r="L86" s="50">
        <f t="shared" si="28"/>
        <v>5691578</v>
      </c>
      <c r="M86" s="50">
        <f t="shared" si="28"/>
        <v>958650</v>
      </c>
      <c r="N86" s="21">
        <f t="shared" si="26"/>
        <v>16.843307778616055</v>
      </c>
      <c r="O86" s="21" t="e">
        <f t="shared" si="27"/>
        <v>#DIV/0!</v>
      </c>
    </row>
    <row r="87" spans="1:15" ht="28.5" customHeight="1">
      <c r="A87" s="59" t="s">
        <v>230</v>
      </c>
      <c r="B87" s="42" t="s">
        <v>231</v>
      </c>
      <c r="C87" s="51">
        <v>5691578</v>
      </c>
      <c r="D87" s="51">
        <v>958650</v>
      </c>
      <c r="E87" s="51"/>
      <c r="F87" s="51">
        <v>5691578</v>
      </c>
      <c r="G87" s="51">
        <v>958650</v>
      </c>
      <c r="H87" s="51">
        <v>5691578</v>
      </c>
      <c r="I87" s="51">
        <v>958650</v>
      </c>
      <c r="J87" s="51">
        <v>5691578</v>
      </c>
      <c r="K87" s="51">
        <v>958650</v>
      </c>
      <c r="L87" s="51">
        <v>5691578</v>
      </c>
      <c r="M87" s="51">
        <v>958650</v>
      </c>
      <c r="N87" s="21">
        <f t="shared" si="26"/>
        <v>16.843307778616055</v>
      </c>
      <c r="O87" s="21" t="e">
        <f t="shared" si="27"/>
        <v>#DIV/0!</v>
      </c>
    </row>
    <row r="88" spans="1:15" ht="28.5" customHeight="1">
      <c r="A88" s="59" t="s">
        <v>232</v>
      </c>
      <c r="B88" s="42" t="s">
        <v>233</v>
      </c>
      <c r="C88" s="51"/>
      <c r="D88" s="51"/>
      <c r="E88" s="51"/>
      <c r="F88" s="50">
        <f>F89</f>
        <v>1400000</v>
      </c>
      <c r="G88" s="50">
        <f aca="true" t="shared" si="29" ref="G88:M88">G89</f>
        <v>0</v>
      </c>
      <c r="H88" s="50">
        <f t="shared" si="29"/>
        <v>0</v>
      </c>
      <c r="I88" s="50">
        <f t="shared" si="29"/>
        <v>0</v>
      </c>
      <c r="J88" s="50">
        <f t="shared" si="29"/>
        <v>0</v>
      </c>
      <c r="K88" s="50">
        <f t="shared" si="29"/>
        <v>0</v>
      </c>
      <c r="L88" s="50">
        <f t="shared" si="29"/>
        <v>0</v>
      </c>
      <c r="M88" s="50">
        <f t="shared" si="29"/>
        <v>1400000</v>
      </c>
      <c r="N88" s="21">
        <f t="shared" si="26"/>
        <v>100</v>
      </c>
      <c r="O88" s="21" t="e">
        <f t="shared" si="27"/>
        <v>#DIV/0!</v>
      </c>
    </row>
    <row r="89" spans="1:15" ht="28.5" customHeight="1">
      <c r="A89" s="59" t="s">
        <v>234</v>
      </c>
      <c r="B89" s="42" t="s">
        <v>235</v>
      </c>
      <c r="C89" s="51"/>
      <c r="D89" s="51"/>
      <c r="E89" s="51"/>
      <c r="F89" s="50">
        <v>1400000</v>
      </c>
      <c r="G89" s="50"/>
      <c r="H89" s="51"/>
      <c r="I89" s="51"/>
      <c r="J89" s="51"/>
      <c r="K89" s="51"/>
      <c r="L89" s="51"/>
      <c r="M89" s="50">
        <v>1400000</v>
      </c>
      <c r="N89" s="21">
        <f t="shared" si="26"/>
        <v>100</v>
      </c>
      <c r="O89" s="21" t="e">
        <f t="shared" si="27"/>
        <v>#DIV/0!</v>
      </c>
    </row>
    <row r="90" spans="1:15" ht="24" customHeight="1">
      <c r="A90" s="59" t="s">
        <v>184</v>
      </c>
      <c r="B90" s="62" t="s">
        <v>185</v>
      </c>
      <c r="C90" s="51">
        <f>C91</f>
        <v>1501850</v>
      </c>
      <c r="D90" s="51">
        <f>D91</f>
        <v>1128919.7</v>
      </c>
      <c r="E90" s="51">
        <f>E91</f>
        <v>1128919.7</v>
      </c>
      <c r="F90" s="50">
        <f>F91</f>
        <v>225000</v>
      </c>
      <c r="G90" s="50">
        <f>G91</f>
        <v>958650</v>
      </c>
      <c r="H90" s="23">
        <f>H91</f>
        <v>0</v>
      </c>
      <c r="I90" s="23">
        <f>I91</f>
        <v>0</v>
      </c>
      <c r="J90" s="23">
        <f>J91</f>
        <v>0</v>
      </c>
      <c r="K90" s="23">
        <f>K91</f>
        <v>0</v>
      </c>
      <c r="L90" s="23">
        <f>L91</f>
        <v>0</v>
      </c>
      <c r="M90" s="50">
        <f>M91</f>
        <v>225000</v>
      </c>
      <c r="N90" s="21">
        <f>M90/F90*100</f>
        <v>100</v>
      </c>
      <c r="O90" s="24">
        <f t="shared" si="24"/>
        <v>19.930558391354143</v>
      </c>
    </row>
    <row r="91" spans="1:15" ht="20.25" customHeight="1">
      <c r="A91" s="59" t="s">
        <v>186</v>
      </c>
      <c r="B91" s="62" t="s">
        <v>134</v>
      </c>
      <c r="C91" s="51">
        <v>1501850</v>
      </c>
      <c r="D91" s="51">
        <v>1128919.7</v>
      </c>
      <c r="E91" s="51">
        <v>1128919.7</v>
      </c>
      <c r="F91" s="51">
        <v>225000</v>
      </c>
      <c r="G91" s="51">
        <v>958650</v>
      </c>
      <c r="H91" s="20"/>
      <c r="I91" s="25"/>
      <c r="J91" s="25"/>
      <c r="K91" s="25"/>
      <c r="L91" s="25"/>
      <c r="M91" s="51">
        <v>225000</v>
      </c>
      <c r="N91" s="21">
        <f>M91/F91*100</f>
        <v>100</v>
      </c>
      <c r="O91" s="24">
        <f t="shared" si="24"/>
        <v>19.930558391354143</v>
      </c>
    </row>
    <row r="92" spans="1:15" ht="24.75" customHeight="1">
      <c r="A92" s="63" t="s">
        <v>187</v>
      </c>
      <c r="B92" s="64" t="s">
        <v>188</v>
      </c>
      <c r="C92" s="52" t="e">
        <f>C93+C95+C97+C99+C101+#REF!+#REF!</f>
        <v>#REF!</v>
      </c>
      <c r="D92" s="52" t="e">
        <f>D93+D95+D97+D99+D101+#REF!</f>
        <v>#REF!</v>
      </c>
      <c r="E92" s="52">
        <f>E93+E95+E97+E99+E101</f>
        <v>34196607.230000004</v>
      </c>
      <c r="F92" s="53">
        <f>F93+F95+F97+F99+F101</f>
        <v>64547061.65</v>
      </c>
      <c r="G92" s="53" t="e">
        <f aca="true" t="shared" si="30" ref="G92:M92">G93+G95+G97+G99+G101</f>
        <v>#REF!</v>
      </c>
      <c r="H92" s="53">
        <f t="shared" si="30"/>
        <v>0</v>
      </c>
      <c r="I92" s="53">
        <f t="shared" si="30"/>
        <v>0</v>
      </c>
      <c r="J92" s="53">
        <f t="shared" si="30"/>
        <v>0</v>
      </c>
      <c r="K92" s="53">
        <f t="shared" si="30"/>
        <v>0</v>
      </c>
      <c r="L92" s="53">
        <f t="shared" si="30"/>
        <v>0</v>
      </c>
      <c r="M92" s="53">
        <f t="shared" si="30"/>
        <v>35108488.94</v>
      </c>
      <c r="N92" s="21">
        <f>M92/F92*100</f>
        <v>54.39207927135751</v>
      </c>
      <c r="O92" s="21">
        <f t="shared" si="24"/>
        <v>102.66658532487402</v>
      </c>
    </row>
    <row r="93" spans="1:15" ht="32.25" customHeight="1">
      <c r="A93" s="56" t="s">
        <v>189</v>
      </c>
      <c r="B93" s="42" t="s">
        <v>87</v>
      </c>
      <c r="C93" s="49">
        <f>C94</f>
        <v>452888</v>
      </c>
      <c r="D93" s="49">
        <f>D94</f>
        <v>210394.85</v>
      </c>
      <c r="E93" s="49">
        <f>E94</f>
        <v>210394.85</v>
      </c>
      <c r="F93" s="49">
        <f aca="true" t="shared" si="31" ref="F93:M93">F94</f>
        <v>444429</v>
      </c>
      <c r="G93" s="49" t="e">
        <f t="shared" si="31"/>
        <v>#REF!</v>
      </c>
      <c r="H93" s="49">
        <f t="shared" si="31"/>
        <v>0</v>
      </c>
      <c r="I93" s="49">
        <f t="shared" si="31"/>
        <v>0</v>
      </c>
      <c r="J93" s="49">
        <f t="shared" si="31"/>
        <v>0</v>
      </c>
      <c r="K93" s="49">
        <f t="shared" si="31"/>
        <v>0</v>
      </c>
      <c r="L93" s="49">
        <f t="shared" si="31"/>
        <v>0</v>
      </c>
      <c r="M93" s="49">
        <f t="shared" si="31"/>
        <v>222214.5</v>
      </c>
      <c r="N93" s="24">
        <f>M93/F93*100</f>
        <v>50</v>
      </c>
      <c r="O93" s="24">
        <f aca="true" t="shared" si="32" ref="O93:O98">M93/E93*100</f>
        <v>105.61784188158599</v>
      </c>
    </row>
    <row r="94" spans="1:15" ht="32.25" customHeight="1">
      <c r="A94" s="56" t="s">
        <v>190</v>
      </c>
      <c r="B94" s="42" t="s">
        <v>135</v>
      </c>
      <c r="C94" s="50">
        <v>452888</v>
      </c>
      <c r="D94" s="50">
        <v>210394.85</v>
      </c>
      <c r="E94" s="50">
        <v>210394.85</v>
      </c>
      <c r="F94" s="94">
        <v>444429</v>
      </c>
      <c r="G94" s="94" t="e">
        <f>G95+G97+G99+G101+#REF!</f>
        <v>#REF!</v>
      </c>
      <c r="H94" s="25"/>
      <c r="I94" s="25"/>
      <c r="J94" s="25"/>
      <c r="K94" s="25"/>
      <c r="L94" s="25"/>
      <c r="M94" s="94">
        <v>222214.5</v>
      </c>
      <c r="N94" s="24">
        <f>M94/F94*100</f>
        <v>50</v>
      </c>
      <c r="O94" s="24">
        <f t="shared" si="32"/>
        <v>105.61784188158599</v>
      </c>
    </row>
    <row r="95" spans="1:15" ht="30">
      <c r="A95" s="66" t="s">
        <v>191</v>
      </c>
      <c r="B95" s="42" t="s">
        <v>88</v>
      </c>
      <c r="C95" s="49">
        <f>C96</f>
        <v>268083.3</v>
      </c>
      <c r="D95" s="49">
        <f>D96</f>
        <v>265287.51</v>
      </c>
      <c r="E95" s="49">
        <f>E96</f>
        <v>265287.51</v>
      </c>
      <c r="F95" s="49">
        <f>F96</f>
        <v>272292.1</v>
      </c>
      <c r="G95" s="49">
        <f>G96</f>
        <v>30966271.19</v>
      </c>
      <c r="H95" s="20"/>
      <c r="I95" s="25"/>
      <c r="J95" s="25"/>
      <c r="K95" s="25"/>
      <c r="L95" s="25"/>
      <c r="M95" s="49">
        <f>M96</f>
        <v>211605.15</v>
      </c>
      <c r="N95" s="24">
        <f>M95/F95*100</f>
        <v>77.71255574436424</v>
      </c>
      <c r="O95" s="24">
        <f t="shared" si="32"/>
        <v>79.7644600757872</v>
      </c>
    </row>
    <row r="96" spans="1:15" ht="30">
      <c r="A96" s="56" t="s">
        <v>192</v>
      </c>
      <c r="B96" s="42" t="s">
        <v>136</v>
      </c>
      <c r="C96" s="50">
        <v>268083.3</v>
      </c>
      <c r="D96" s="50">
        <v>265287.51</v>
      </c>
      <c r="E96" s="50">
        <v>265287.51</v>
      </c>
      <c r="F96" s="50">
        <v>272292.1</v>
      </c>
      <c r="G96" s="50">
        <v>30966271.19</v>
      </c>
      <c r="H96" s="23">
        <f>H97</f>
        <v>0</v>
      </c>
      <c r="I96" s="23">
        <f>I97</f>
        <v>0</v>
      </c>
      <c r="J96" s="23">
        <f>J97</f>
        <v>0</v>
      </c>
      <c r="K96" s="23">
        <f>K97</f>
        <v>0</v>
      </c>
      <c r="L96" s="23">
        <f>L97</f>
        <v>0</v>
      </c>
      <c r="M96" s="50">
        <v>211605.15</v>
      </c>
      <c r="N96" s="24">
        <f>M96/F96*100</f>
        <v>77.71255574436424</v>
      </c>
      <c r="O96" s="24">
        <f t="shared" si="32"/>
        <v>79.7644600757872</v>
      </c>
    </row>
    <row r="97" spans="1:15" ht="30">
      <c r="A97" s="56" t="s">
        <v>193</v>
      </c>
      <c r="B97" s="42" t="s">
        <v>194</v>
      </c>
      <c r="C97" s="49">
        <f>C98</f>
        <v>55811808</v>
      </c>
      <c r="D97" s="49">
        <f>D98</f>
        <v>32165741.57</v>
      </c>
      <c r="E97" s="49">
        <f>E98</f>
        <v>32165741.57</v>
      </c>
      <c r="F97" s="51">
        <f>F98</f>
        <v>55484643.55</v>
      </c>
      <c r="G97" s="51">
        <f>G98</f>
        <v>119186.1</v>
      </c>
      <c r="H97" s="20"/>
      <c r="I97" s="25"/>
      <c r="J97" s="25"/>
      <c r="K97" s="25"/>
      <c r="L97" s="25"/>
      <c r="M97" s="51">
        <f>M98</f>
        <v>30966271.19</v>
      </c>
      <c r="N97" s="24">
        <f>M97/F97*100</f>
        <v>55.810525595419456</v>
      </c>
      <c r="O97" s="24">
        <f t="shared" si="32"/>
        <v>96.27096929386913</v>
      </c>
    </row>
    <row r="98" spans="1:15" ht="30">
      <c r="A98" s="56" t="s">
        <v>195</v>
      </c>
      <c r="B98" s="42" t="s">
        <v>196</v>
      </c>
      <c r="C98" s="50">
        <v>55811808</v>
      </c>
      <c r="D98" s="50">
        <v>32165741.57</v>
      </c>
      <c r="E98" s="50">
        <v>32165741.57</v>
      </c>
      <c r="F98" s="51">
        <v>55484643.55</v>
      </c>
      <c r="G98" s="51">
        <v>119186.1</v>
      </c>
      <c r="H98" s="19" t="e">
        <f>H99+H101+#REF!+H103+H105</f>
        <v>#REF!</v>
      </c>
      <c r="I98" s="19" t="e">
        <f>I99+I101+#REF!+I103+I105</f>
        <v>#REF!</v>
      </c>
      <c r="J98" s="19" t="e">
        <f>J99+J101+#REF!+J103+J105</f>
        <v>#REF!</v>
      </c>
      <c r="K98" s="19" t="e">
        <f>K99+K101+#REF!+K103+K105</f>
        <v>#REF!</v>
      </c>
      <c r="L98" s="19" t="e">
        <f>L99+L101+#REF!+L103+L105</f>
        <v>#REF!</v>
      </c>
      <c r="M98" s="51">
        <v>30966271.19</v>
      </c>
      <c r="N98" s="24">
        <f>M98/F98*100</f>
        <v>55.810525595419456</v>
      </c>
      <c r="O98" s="24">
        <f t="shared" si="32"/>
        <v>96.27096929386913</v>
      </c>
    </row>
    <row r="99" spans="1:15" ht="48.75" customHeight="1">
      <c r="A99" s="67" t="s">
        <v>197</v>
      </c>
      <c r="B99" s="42" t="s">
        <v>198</v>
      </c>
      <c r="C99" s="51">
        <f>C100</f>
        <v>291282</v>
      </c>
      <c r="D99" s="51">
        <v>115083.3</v>
      </c>
      <c r="E99" s="51">
        <v>115083.3</v>
      </c>
      <c r="F99" s="51">
        <f>F100</f>
        <v>269970</v>
      </c>
      <c r="G99" s="51">
        <f>G100</f>
        <v>3589212</v>
      </c>
      <c r="H99" s="20"/>
      <c r="I99" s="25"/>
      <c r="J99" s="25"/>
      <c r="K99" s="25"/>
      <c r="L99" s="25"/>
      <c r="M99" s="51">
        <f>M100</f>
        <v>119186.1</v>
      </c>
      <c r="N99" s="24">
        <f>M99/F99*100</f>
        <v>44.14790532281365</v>
      </c>
      <c r="O99" s="24">
        <f aca="true" t="shared" si="33" ref="O99:O112">M99/E99*100</f>
        <v>103.56506982333667</v>
      </c>
    </row>
    <row r="100" spans="1:15" ht="45">
      <c r="A100" s="67" t="s">
        <v>199</v>
      </c>
      <c r="B100" s="42" t="s">
        <v>200</v>
      </c>
      <c r="C100" s="51">
        <v>291282</v>
      </c>
      <c r="D100" s="51">
        <v>115083.3</v>
      </c>
      <c r="E100" s="51">
        <v>115083.3</v>
      </c>
      <c r="F100" s="51">
        <v>269970</v>
      </c>
      <c r="G100" s="51">
        <v>3589212</v>
      </c>
      <c r="H100" s="20">
        <f>I100-G100</f>
        <v>17596888</v>
      </c>
      <c r="I100" s="25">
        <v>21186100</v>
      </c>
      <c r="J100" s="25">
        <v>20249400</v>
      </c>
      <c r="K100" s="25">
        <f>L100-J100</f>
        <v>0</v>
      </c>
      <c r="L100" s="25">
        <v>20249400</v>
      </c>
      <c r="M100" s="51">
        <v>119186.1</v>
      </c>
      <c r="N100" s="24">
        <f aca="true" t="shared" si="34" ref="N100:N112">M100/F100*100</f>
        <v>44.14790532281365</v>
      </c>
      <c r="O100" s="24">
        <f t="shared" si="33"/>
        <v>103.56506982333667</v>
      </c>
    </row>
    <row r="101" spans="1:15" ht="45">
      <c r="A101" s="67" t="s">
        <v>201</v>
      </c>
      <c r="B101" s="65" t="s">
        <v>202</v>
      </c>
      <c r="C101" s="51">
        <f>C102</f>
        <v>1489000</v>
      </c>
      <c r="D101" s="51">
        <f>D102</f>
        <v>1440100</v>
      </c>
      <c r="E101" s="51">
        <f>E102</f>
        <v>1440100</v>
      </c>
      <c r="F101" s="49">
        <f>F102</f>
        <v>8075727</v>
      </c>
      <c r="G101" s="49">
        <f>G102</f>
        <v>222214.5</v>
      </c>
      <c r="H101" s="20"/>
      <c r="I101" s="25"/>
      <c r="J101" s="25"/>
      <c r="K101" s="25"/>
      <c r="L101" s="25"/>
      <c r="M101" s="49">
        <f>M102</f>
        <v>3589212</v>
      </c>
      <c r="N101" s="24">
        <f t="shared" si="34"/>
        <v>44.44444444444444</v>
      </c>
      <c r="O101" s="24">
        <f t="shared" si="33"/>
        <v>249.23352544962154</v>
      </c>
    </row>
    <row r="102" spans="1:15" ht="45">
      <c r="A102" s="67" t="s">
        <v>203</v>
      </c>
      <c r="B102" s="65" t="s">
        <v>204</v>
      </c>
      <c r="C102" s="51">
        <v>1489000</v>
      </c>
      <c r="D102" s="51">
        <v>1440100</v>
      </c>
      <c r="E102" s="51">
        <v>1440100</v>
      </c>
      <c r="F102" s="50">
        <v>8075727</v>
      </c>
      <c r="G102" s="50">
        <v>222214.5</v>
      </c>
      <c r="H102" s="20">
        <f>I102-G102</f>
        <v>8082385.5</v>
      </c>
      <c r="I102" s="25">
        <v>8304600</v>
      </c>
      <c r="J102" s="25">
        <v>9300700</v>
      </c>
      <c r="K102" s="25">
        <f>L102-J102</f>
        <v>0</v>
      </c>
      <c r="L102" s="25">
        <v>9300700</v>
      </c>
      <c r="M102" s="50">
        <v>3589212</v>
      </c>
      <c r="N102" s="24">
        <f t="shared" si="34"/>
        <v>44.44444444444444</v>
      </c>
      <c r="O102" s="24">
        <f t="shared" si="33"/>
        <v>249.23352544962154</v>
      </c>
    </row>
    <row r="103" spans="1:15" ht="18.75">
      <c r="A103" s="68" t="s">
        <v>205</v>
      </c>
      <c r="B103" s="69" t="s">
        <v>37</v>
      </c>
      <c r="C103" s="53">
        <f>C104+C113+C106</f>
        <v>6793202.88</v>
      </c>
      <c r="D103" s="53">
        <f>D104+D113+D106</f>
        <v>3826087.9299999997</v>
      </c>
      <c r="E103" s="53">
        <f>E104+E113+E106</f>
        <v>3826087.9299999997</v>
      </c>
      <c r="F103" s="53">
        <f>F104+F108</f>
        <v>6042344</v>
      </c>
      <c r="G103" s="53">
        <f aca="true" t="shared" si="35" ref="G103:M103">G104+G108</f>
        <v>3922400</v>
      </c>
      <c r="H103" s="53">
        <f t="shared" si="35"/>
        <v>10939500</v>
      </c>
      <c r="I103" s="53">
        <f t="shared" si="35"/>
        <v>14861900</v>
      </c>
      <c r="J103" s="53">
        <f t="shared" si="35"/>
        <v>15580900</v>
      </c>
      <c r="K103" s="53">
        <f t="shared" si="35"/>
        <v>0</v>
      </c>
      <c r="L103" s="53">
        <f t="shared" si="35"/>
        <v>15580900</v>
      </c>
      <c r="M103" s="53">
        <f>M104+M108</f>
        <v>4046474.5</v>
      </c>
      <c r="N103" s="21">
        <f t="shared" si="34"/>
        <v>66.96862177989205</v>
      </c>
      <c r="O103" s="21">
        <f t="shared" si="33"/>
        <v>105.76010206853768</v>
      </c>
    </row>
    <row r="104" spans="1:15" ht="45">
      <c r="A104" s="70" t="s">
        <v>206</v>
      </c>
      <c r="B104" s="65" t="s">
        <v>207</v>
      </c>
      <c r="C104" s="51">
        <f>C105</f>
        <v>6330000</v>
      </c>
      <c r="D104" s="51">
        <f>D105</f>
        <v>3443885</v>
      </c>
      <c r="E104" s="51">
        <f>E105</f>
        <v>3443885</v>
      </c>
      <c r="F104" s="51">
        <f>F105</f>
        <v>5844000</v>
      </c>
      <c r="G104" s="51">
        <f>G105</f>
        <v>3922400</v>
      </c>
      <c r="H104" s="20">
        <f>I104-G104</f>
        <v>10939500</v>
      </c>
      <c r="I104" s="25">
        <v>14861900</v>
      </c>
      <c r="J104" s="25">
        <v>15580900</v>
      </c>
      <c r="K104" s="25">
        <f>L104-J104</f>
        <v>0</v>
      </c>
      <c r="L104" s="25">
        <v>15580900</v>
      </c>
      <c r="M104" s="51">
        <f>M105</f>
        <v>3922400</v>
      </c>
      <c r="N104" s="24">
        <f t="shared" si="34"/>
        <v>67.11841204654347</v>
      </c>
      <c r="O104" s="24">
        <f t="shared" si="33"/>
        <v>113.89462772421261</v>
      </c>
    </row>
    <row r="105" spans="1:15" ht="45">
      <c r="A105" s="61" t="s">
        <v>208</v>
      </c>
      <c r="B105" s="71" t="s">
        <v>209</v>
      </c>
      <c r="C105" s="51">
        <v>6330000</v>
      </c>
      <c r="D105" s="51">
        <v>3443885</v>
      </c>
      <c r="E105" s="51">
        <v>3443885</v>
      </c>
      <c r="F105" s="51">
        <v>5844000</v>
      </c>
      <c r="G105" s="51">
        <v>3922400</v>
      </c>
      <c r="H105" s="23">
        <f>H106</f>
        <v>0</v>
      </c>
      <c r="I105" s="23">
        <f>I106</f>
        <v>0</v>
      </c>
      <c r="J105" s="23">
        <f>J106</f>
        <v>0</v>
      </c>
      <c r="K105" s="23">
        <f>K106</f>
        <v>0</v>
      </c>
      <c r="L105" s="23">
        <f>L106</f>
        <v>0</v>
      </c>
      <c r="M105" s="51">
        <v>3922400</v>
      </c>
      <c r="N105" s="24">
        <f t="shared" si="34"/>
        <v>67.11841204654347</v>
      </c>
      <c r="O105" s="24">
        <f t="shared" si="33"/>
        <v>113.89462772421261</v>
      </c>
    </row>
    <row r="106" spans="1:15" ht="28.5" customHeight="1">
      <c r="A106" s="61" t="s">
        <v>210</v>
      </c>
      <c r="B106" s="71" t="s">
        <v>211</v>
      </c>
      <c r="C106" s="51">
        <f>C107</f>
        <v>267519.88</v>
      </c>
      <c r="D106" s="51">
        <f>D107</f>
        <v>267519.88</v>
      </c>
      <c r="E106" s="51">
        <f>E107</f>
        <v>267519.88</v>
      </c>
      <c r="F106" s="51">
        <f>F107</f>
        <v>0</v>
      </c>
      <c r="G106" s="51">
        <f>G107</f>
        <v>124074.5</v>
      </c>
      <c r="H106" s="20"/>
      <c r="I106" s="25"/>
      <c r="J106" s="25"/>
      <c r="K106" s="25"/>
      <c r="L106" s="25"/>
      <c r="M106" s="51">
        <v>0</v>
      </c>
      <c r="N106" s="24" t="e">
        <f t="shared" si="34"/>
        <v>#DIV/0!</v>
      </c>
      <c r="O106" s="24">
        <f t="shared" si="33"/>
        <v>0</v>
      </c>
    </row>
    <row r="107" spans="1:15" ht="45">
      <c r="A107" s="61" t="s">
        <v>212</v>
      </c>
      <c r="B107" s="71" t="s">
        <v>213</v>
      </c>
      <c r="C107" s="51">
        <v>267519.88</v>
      </c>
      <c r="D107" s="51">
        <v>267519.88</v>
      </c>
      <c r="E107" s="51">
        <v>267519.88</v>
      </c>
      <c r="F107" s="51">
        <v>0</v>
      </c>
      <c r="G107" s="51">
        <v>124074.5</v>
      </c>
      <c r="H107" s="19" t="e">
        <f>#REF!</f>
        <v>#REF!</v>
      </c>
      <c r="I107" s="19" t="e">
        <f>#REF!</f>
        <v>#REF!</v>
      </c>
      <c r="J107" s="19" t="e">
        <f>#REF!</f>
        <v>#REF!</v>
      </c>
      <c r="K107" s="19" t="e">
        <f>#REF!</f>
        <v>#REF!</v>
      </c>
      <c r="L107" s="19" t="e">
        <f>#REF!</f>
        <v>#REF!</v>
      </c>
      <c r="M107" s="51">
        <v>0</v>
      </c>
      <c r="N107" s="24" t="e">
        <f t="shared" si="34"/>
        <v>#DIV/0!</v>
      </c>
      <c r="O107" s="24">
        <f t="shared" si="33"/>
        <v>0</v>
      </c>
    </row>
    <row r="108" spans="1:15" ht="18.75">
      <c r="A108" s="72" t="s">
        <v>214</v>
      </c>
      <c r="B108" s="73" t="s">
        <v>215</v>
      </c>
      <c r="C108" s="51"/>
      <c r="D108" s="51"/>
      <c r="E108" s="51">
        <f>E109</f>
        <v>114683.05</v>
      </c>
      <c r="F108" s="51">
        <f aca="true" t="shared" si="36" ref="F108:M108">F109</f>
        <v>198344</v>
      </c>
      <c r="G108" s="51">
        <f t="shared" si="36"/>
        <v>0</v>
      </c>
      <c r="H108" s="51">
        <f t="shared" si="36"/>
        <v>0</v>
      </c>
      <c r="I108" s="51">
        <f t="shared" si="36"/>
        <v>0</v>
      </c>
      <c r="J108" s="51">
        <f t="shared" si="36"/>
        <v>0</v>
      </c>
      <c r="K108" s="51">
        <f t="shared" si="36"/>
        <v>0</v>
      </c>
      <c r="L108" s="51">
        <f t="shared" si="36"/>
        <v>0</v>
      </c>
      <c r="M108" s="51">
        <f t="shared" si="36"/>
        <v>124074.5</v>
      </c>
      <c r="N108" s="24">
        <f t="shared" si="34"/>
        <v>62.55520711491147</v>
      </c>
      <c r="O108" s="24">
        <f t="shared" si="33"/>
        <v>108.18904798921898</v>
      </c>
    </row>
    <row r="109" spans="1:15" ht="18.75">
      <c r="A109" s="72" t="s">
        <v>216</v>
      </c>
      <c r="B109" s="73" t="s">
        <v>217</v>
      </c>
      <c r="C109" s="51" t="e">
        <f>#REF!</f>
        <v>#REF!</v>
      </c>
      <c r="D109" s="51" t="e">
        <f>#REF!</f>
        <v>#REF!</v>
      </c>
      <c r="E109" s="51">
        <v>114683.05</v>
      </c>
      <c r="F109" s="23">
        <v>198344</v>
      </c>
      <c r="G109" s="51"/>
      <c r="H109" s="51"/>
      <c r="I109" s="51"/>
      <c r="J109" s="51"/>
      <c r="K109" s="51"/>
      <c r="L109" s="51"/>
      <c r="M109" s="51">
        <v>124074.5</v>
      </c>
      <c r="N109" s="24">
        <f t="shared" si="34"/>
        <v>62.55520711491147</v>
      </c>
      <c r="O109" s="24">
        <f t="shared" si="33"/>
        <v>108.18904798921898</v>
      </c>
    </row>
    <row r="110" spans="1:15" ht="31.5" customHeight="1">
      <c r="A110" s="89" t="s">
        <v>55</v>
      </c>
      <c r="B110" s="90" t="s">
        <v>218</v>
      </c>
      <c r="C110" s="53"/>
      <c r="D110" s="53">
        <f>D112</f>
        <v>-180210.67</v>
      </c>
      <c r="E110" s="51"/>
      <c r="F110" s="23"/>
      <c r="G110" s="23"/>
      <c r="H110" s="23"/>
      <c r="I110" s="23"/>
      <c r="J110" s="23"/>
      <c r="K110" s="23"/>
      <c r="L110" s="23"/>
      <c r="M110" s="23">
        <f>M111</f>
        <v>-180210.67</v>
      </c>
      <c r="N110" s="24" t="e">
        <f t="shared" si="34"/>
        <v>#DIV/0!</v>
      </c>
      <c r="O110" s="24" t="e">
        <f t="shared" si="33"/>
        <v>#DIV/0!</v>
      </c>
    </row>
    <row r="111" spans="1:15" ht="30">
      <c r="A111" s="72" t="s">
        <v>219</v>
      </c>
      <c r="B111" s="73" t="s">
        <v>220</v>
      </c>
      <c r="C111" s="51"/>
      <c r="D111" s="51">
        <f>D112</f>
        <v>-180210.67</v>
      </c>
      <c r="E111" s="51"/>
      <c r="F111" s="23"/>
      <c r="G111" s="51"/>
      <c r="H111" s="51"/>
      <c r="I111" s="51"/>
      <c r="J111" s="51"/>
      <c r="K111" s="51"/>
      <c r="L111" s="51"/>
      <c r="M111" s="23">
        <f>M112</f>
        <v>-180210.67</v>
      </c>
      <c r="N111" s="24" t="e">
        <f t="shared" si="34"/>
        <v>#DIV/0!</v>
      </c>
      <c r="O111" s="24" t="e">
        <f t="shared" si="33"/>
        <v>#DIV/0!</v>
      </c>
    </row>
    <row r="112" spans="1:15" ht="30">
      <c r="A112" s="72" t="s">
        <v>221</v>
      </c>
      <c r="B112" s="73" t="s">
        <v>222</v>
      </c>
      <c r="C112" s="51"/>
      <c r="D112" s="51">
        <v>-180210.67</v>
      </c>
      <c r="E112" s="51"/>
      <c r="F112" s="23"/>
      <c r="G112" s="51"/>
      <c r="H112" s="51"/>
      <c r="I112" s="51"/>
      <c r="J112" s="51"/>
      <c r="K112" s="51"/>
      <c r="L112" s="51"/>
      <c r="M112" s="23">
        <v>-180210.67</v>
      </c>
      <c r="N112" s="24" t="e">
        <f t="shared" si="34"/>
        <v>#DIV/0!</v>
      </c>
      <c r="O112" s="24" t="e">
        <f t="shared" si="33"/>
        <v>#DIV/0!</v>
      </c>
    </row>
    <row r="113" spans="1:15" ht="18.75" hidden="1">
      <c r="A113" s="72" t="s">
        <v>216</v>
      </c>
      <c r="B113" s="72" t="s">
        <v>217</v>
      </c>
      <c r="C113" s="51">
        <v>195683</v>
      </c>
      <c r="D113" s="51">
        <v>114683.05</v>
      </c>
      <c r="E113" s="51">
        <v>114683.05</v>
      </c>
      <c r="F113" s="19">
        <f aca="true" t="shared" si="37" ref="E113:M114">F114</f>
        <v>0</v>
      </c>
      <c r="G113" s="19">
        <f t="shared" si="37"/>
        <v>0</v>
      </c>
      <c r="H113" s="19">
        <f t="shared" si="37"/>
        <v>0</v>
      </c>
      <c r="I113" s="19">
        <f t="shared" si="37"/>
        <v>0</v>
      </c>
      <c r="J113" s="19">
        <f t="shared" si="37"/>
        <v>0</v>
      </c>
      <c r="K113" s="19">
        <f t="shared" si="37"/>
        <v>0</v>
      </c>
      <c r="L113" s="19">
        <f t="shared" si="37"/>
        <v>0</v>
      </c>
      <c r="M113" s="19">
        <f t="shared" si="37"/>
        <v>0</v>
      </c>
      <c r="N113" s="21" t="e">
        <f>M113/F113*100</f>
        <v>#DIV/0!</v>
      </c>
      <c r="O113" s="21"/>
    </row>
    <row r="114" spans="1:15" ht="45" hidden="1">
      <c r="A114" s="40" t="s">
        <v>143</v>
      </c>
      <c r="B114" s="39" t="s">
        <v>144</v>
      </c>
      <c r="C114" s="23"/>
      <c r="D114" s="23"/>
      <c r="E114" s="23">
        <f t="shared" si="37"/>
        <v>0</v>
      </c>
      <c r="F114" s="23"/>
      <c r="G114" s="23">
        <f t="shared" si="37"/>
        <v>0</v>
      </c>
      <c r="H114" s="23">
        <f t="shared" si="37"/>
        <v>0</v>
      </c>
      <c r="I114" s="23">
        <f t="shared" si="37"/>
        <v>0</v>
      </c>
      <c r="J114" s="23">
        <f t="shared" si="37"/>
        <v>0</v>
      </c>
      <c r="K114" s="23">
        <f t="shared" si="37"/>
        <v>0</v>
      </c>
      <c r="L114" s="23">
        <f t="shared" si="37"/>
        <v>0</v>
      </c>
      <c r="M114" s="23">
        <f t="shared" si="37"/>
        <v>0</v>
      </c>
      <c r="N114" s="24" t="e">
        <f>M114/F114*100</f>
        <v>#DIV/0!</v>
      </c>
      <c r="O114" s="24"/>
    </row>
    <row r="115" spans="1:15" ht="45" hidden="1">
      <c r="A115" s="40" t="s">
        <v>145</v>
      </c>
      <c r="B115" s="39" t="s">
        <v>146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4" t="e">
        <f>M115/F115*100</f>
        <v>#DIV/0!</v>
      </c>
      <c r="O115" s="24"/>
    </row>
    <row r="116" spans="1:15" ht="42.75" hidden="1">
      <c r="A116" s="34" t="s">
        <v>55</v>
      </c>
      <c r="B116" s="29" t="s">
        <v>92</v>
      </c>
      <c r="C116" s="19">
        <f>C117</f>
        <v>0</v>
      </c>
      <c r="D116" s="19">
        <f>D117</f>
        <v>0</v>
      </c>
      <c r="E116" s="19">
        <f>E117</f>
        <v>0</v>
      </c>
      <c r="F116" s="19" t="str">
        <f>F117</f>
        <v>0,00</v>
      </c>
      <c r="G116" s="20">
        <f>G117</f>
        <v>0</v>
      </c>
      <c r="H116" s="20">
        <f>I116-G116</f>
        <v>0</v>
      </c>
      <c r="I116" s="20">
        <f>I117</f>
        <v>0</v>
      </c>
      <c r="J116" s="20">
        <f>J117</f>
        <v>0</v>
      </c>
      <c r="K116" s="20">
        <f>L116-J116</f>
        <v>0</v>
      </c>
      <c r="L116" s="20">
        <f>L117</f>
        <v>0</v>
      </c>
      <c r="M116" s="19">
        <f>M117</f>
        <v>0</v>
      </c>
      <c r="N116" s="21"/>
      <c r="O116" s="21" t="e">
        <f>M116/E116*100</f>
        <v>#DIV/0!</v>
      </c>
    </row>
    <row r="117" spans="1:15" ht="29.25" customHeight="1" hidden="1">
      <c r="A117" s="15" t="s">
        <v>137</v>
      </c>
      <c r="B117" s="30" t="s">
        <v>138</v>
      </c>
      <c r="C117" s="23"/>
      <c r="D117" s="23">
        <f>F117-C117</f>
        <v>0</v>
      </c>
      <c r="E117" s="23"/>
      <c r="F117" s="26" t="s">
        <v>70</v>
      </c>
      <c r="G117" s="25"/>
      <c r="H117" s="20">
        <f>I117-G117</f>
        <v>0</v>
      </c>
      <c r="I117" s="25"/>
      <c r="J117" s="25"/>
      <c r="K117" s="25">
        <f>L117-J117</f>
        <v>0</v>
      </c>
      <c r="L117" s="25"/>
      <c r="M117" s="23"/>
      <c r="N117" s="24"/>
      <c r="O117" s="24" t="e">
        <f>M117/E117*100</f>
        <v>#DIV/0!</v>
      </c>
    </row>
    <row r="118" spans="1:15" ht="22.5" customHeight="1">
      <c r="A118" s="74" t="s">
        <v>50</v>
      </c>
      <c r="B118" s="74"/>
      <c r="C118" s="19" t="e">
        <f>C7+C72</f>
        <v>#REF!</v>
      </c>
      <c r="D118" s="19" t="e">
        <f>F118-C118</f>
        <v>#REF!</v>
      </c>
      <c r="E118" s="19">
        <f aca="true" t="shared" si="38" ref="E118:M118">E7+E72</f>
        <v>61162696.31</v>
      </c>
      <c r="F118" s="19">
        <f t="shared" si="38"/>
        <v>139071081.35</v>
      </c>
      <c r="G118" s="31" t="e">
        <f t="shared" si="38"/>
        <v>#REF!</v>
      </c>
      <c r="H118" s="31" t="e">
        <f t="shared" si="38"/>
        <v>#REF!</v>
      </c>
      <c r="I118" s="31" t="e">
        <f t="shared" si="38"/>
        <v>#REF!</v>
      </c>
      <c r="J118" s="31" t="e">
        <f t="shared" si="38"/>
        <v>#REF!</v>
      </c>
      <c r="K118" s="31" t="e">
        <f t="shared" si="38"/>
        <v>#REF!</v>
      </c>
      <c r="L118" s="31" t="e">
        <f t="shared" si="38"/>
        <v>#REF!</v>
      </c>
      <c r="M118" s="19">
        <f t="shared" si="38"/>
        <v>70824074.94</v>
      </c>
      <c r="N118" s="21">
        <f>M118/F118*100</f>
        <v>50.92652926294371</v>
      </c>
      <c r="O118" s="21">
        <f>M118/E118*100</f>
        <v>115.79619476066227</v>
      </c>
    </row>
    <row r="119" spans="2:12" ht="18.75">
      <c r="B119" s="8"/>
      <c r="C119" s="9"/>
      <c r="D119" s="9"/>
      <c r="E119" s="9"/>
      <c r="F119" s="9"/>
      <c r="G119" s="3"/>
      <c r="H119" s="3"/>
      <c r="I119" s="3"/>
      <c r="J119" s="3"/>
      <c r="K119" s="3"/>
      <c r="L119" s="3"/>
    </row>
  </sheetData>
  <sheetProtection/>
  <autoFilter ref="A6:L118"/>
  <mergeCells count="18">
    <mergeCell ref="D3:D5"/>
    <mergeCell ref="F3:F5"/>
    <mergeCell ref="L3:L5"/>
    <mergeCell ref="E3:E5"/>
    <mergeCell ref="H3:H5"/>
    <mergeCell ref="I3:I5"/>
    <mergeCell ref="J3:J5"/>
    <mergeCell ref="K3:K5"/>
    <mergeCell ref="A118:B118"/>
    <mergeCell ref="G3:G5"/>
    <mergeCell ref="O3:O5"/>
    <mergeCell ref="A1:O1"/>
    <mergeCell ref="N2:O2"/>
    <mergeCell ref="M3:M5"/>
    <mergeCell ref="N3:N5"/>
    <mergeCell ref="C3:C5"/>
    <mergeCell ref="A3:A5"/>
    <mergeCell ref="B3:B5"/>
  </mergeCells>
  <printOptions/>
  <pageMargins left="0.3937007874015748" right="0.3937007874015748" top="0.5118110236220472" bottom="0.35433070866141736" header="0.2362204724409449" footer="0.15748031496062992"/>
  <pageSetup fitToHeight="0" horizontalDpi="600" verticalDpi="600" orientation="landscape" paperSize="9" scale="70" r:id="rId2"/>
  <headerFooter alignWithMargins="0">
    <oddHeader>&amp;C&amp;P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Варульникова С.</dc:creator>
  <cp:keywords/>
  <dc:description/>
  <cp:lastModifiedBy>Райфо</cp:lastModifiedBy>
  <cp:lastPrinted>2016-10-17T07:20:17Z</cp:lastPrinted>
  <dcterms:created xsi:type="dcterms:W3CDTF">2012-04-06T11:02:09Z</dcterms:created>
  <dcterms:modified xsi:type="dcterms:W3CDTF">2017-07-12T08:28:58Z</dcterms:modified>
  <cp:category/>
  <cp:version/>
  <cp:contentType/>
  <cp:contentStatus/>
</cp:coreProperties>
</file>